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Revenue Team\Susan Cash\"/>
    </mc:Choice>
  </mc:AlternateContent>
  <xr:revisionPtr revIDLastSave="0" documentId="13_ncr:1_{5F0200A2-8D79-4ADC-80F2-32802A4069F6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TOT - Baseline" sheetId="2" r:id="rId1"/>
    <sheet name="TOT - Measure L" sheetId="8" r:id="rId2"/>
    <sheet name="TBID" sheetId="7" r:id="rId3"/>
  </sheets>
  <externalReferences>
    <externalReference r:id="rId4"/>
  </externalReferences>
  <definedNames>
    <definedName name="_xlnm.Print_Area" localSheetId="2">TBID!$A$104:$O$247</definedName>
    <definedName name="_xlnm.Print_Area" localSheetId="0">'TOT - Baseline'!$A$1:$O$177</definedName>
    <definedName name="_xlnm.Print_Area" localSheetId="1">'TOT - Measure L'!$A$1:$O$149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5" i="7" l="1"/>
  <c r="E235" i="7"/>
  <c r="D166" i="2"/>
  <c r="C208" i="7"/>
  <c r="F166" i="2"/>
  <c r="G166" i="2"/>
  <c r="H166" i="2"/>
  <c r="I166" i="2"/>
  <c r="J166" i="2"/>
  <c r="K166" i="2"/>
  <c r="L166" i="2"/>
  <c r="M166" i="2"/>
  <c r="N166" i="2"/>
  <c r="C231" i="7"/>
  <c r="O136" i="8"/>
  <c r="I177" i="2"/>
  <c r="J177" i="2" s="1"/>
  <c r="D147" i="2" l="1"/>
  <c r="C211" i="7" l="1"/>
  <c r="C201" i="7"/>
  <c r="E147" i="2"/>
  <c r="F147" i="2"/>
  <c r="G147" i="2"/>
  <c r="H147" i="2"/>
  <c r="I147" i="2"/>
  <c r="J147" i="2"/>
  <c r="K147" i="2"/>
  <c r="L147" i="2"/>
  <c r="M147" i="2"/>
  <c r="N147" i="2"/>
  <c r="C147" i="2"/>
  <c r="I128" i="8" l="1"/>
  <c r="C128" i="8"/>
  <c r="D149" i="2"/>
  <c r="E149" i="2"/>
  <c r="F149" i="2"/>
  <c r="G149" i="2"/>
  <c r="H149" i="2"/>
  <c r="I149" i="2"/>
  <c r="J149" i="2"/>
  <c r="K149" i="2"/>
  <c r="L149" i="2"/>
  <c r="M149" i="2"/>
  <c r="N149" i="2"/>
  <c r="C149" i="2"/>
  <c r="O137" i="8"/>
  <c r="C140" i="8"/>
  <c r="C143" i="8" s="1"/>
  <c r="D140" i="8"/>
  <c r="D143" i="8" s="1"/>
  <c r="E140" i="8"/>
  <c r="E144" i="8" s="1"/>
  <c r="F140" i="8"/>
  <c r="F144" i="8" s="1"/>
  <c r="G140" i="8"/>
  <c r="H140" i="8"/>
  <c r="I140" i="8"/>
  <c r="I144" i="8" s="1"/>
  <c r="J140" i="8"/>
  <c r="J144" i="8" s="1"/>
  <c r="K140" i="8"/>
  <c r="K144" i="8" s="1"/>
  <c r="L140" i="8"/>
  <c r="L144" i="8" s="1"/>
  <c r="M140" i="8"/>
  <c r="M144" i="8" s="1"/>
  <c r="N140" i="8"/>
  <c r="N144" i="8" s="1"/>
  <c r="G144" i="8"/>
  <c r="H144" i="8"/>
  <c r="O143" i="8" l="1"/>
  <c r="I149" i="8" s="1"/>
  <c r="J149" i="8" s="1"/>
  <c r="O140" i="8"/>
  <c r="D144" i="8"/>
  <c r="D226" i="7"/>
  <c r="N200" i="7"/>
  <c r="C144" i="8" l="1"/>
  <c r="N134" i="8"/>
  <c r="D227" i="7"/>
  <c r="C166" i="2"/>
  <c r="E166" i="2"/>
  <c r="O166" i="2" l="1"/>
  <c r="I147" i="8"/>
  <c r="J147" i="8" s="1"/>
  <c r="C157" i="2"/>
  <c r="D157" i="2" s="1"/>
  <c r="C156" i="2"/>
  <c r="D156" i="2" s="1"/>
  <c r="O205" i="7"/>
  <c r="N208" i="7"/>
  <c r="N235" i="7" s="1"/>
  <c r="M208" i="7"/>
  <c r="M235" i="7" s="1"/>
  <c r="L208" i="7"/>
  <c r="L235" i="7" s="1"/>
  <c r="K208" i="7"/>
  <c r="K235" i="7" s="1"/>
  <c r="J208" i="7"/>
  <c r="J235" i="7" s="1"/>
  <c r="I208" i="7"/>
  <c r="I235" i="7" s="1"/>
  <c r="H208" i="7"/>
  <c r="H235" i="7" s="1"/>
  <c r="G208" i="7"/>
  <c r="G235" i="7" s="1"/>
  <c r="F208" i="7"/>
  <c r="F235" i="7" s="1"/>
  <c r="E208" i="7"/>
  <c r="D208" i="7"/>
  <c r="O207" i="7"/>
  <c r="O206" i="7"/>
  <c r="O204" i="7"/>
  <c r="O144" i="2"/>
  <c r="D211" i="7" l="1"/>
  <c r="I247" i="7"/>
  <c r="D235" i="7"/>
  <c r="D242" i="7" s="1"/>
  <c r="C145" i="2"/>
  <c r="C235" i="7"/>
  <c r="F145" i="2"/>
  <c r="C158" i="2"/>
  <c r="O208" i="7"/>
  <c r="L145" i="2"/>
  <c r="K145" i="2"/>
  <c r="G145" i="2"/>
  <c r="N145" i="2"/>
  <c r="J145" i="2"/>
  <c r="D145" i="2"/>
  <c r="H145" i="2"/>
  <c r="I145" i="2"/>
  <c r="M145" i="2"/>
  <c r="E145" i="2"/>
  <c r="J128" i="8"/>
  <c r="K128" i="8"/>
  <c r="N128" i="8"/>
  <c r="O124" i="8"/>
  <c r="J125" i="8" s="1"/>
  <c r="O122" i="8"/>
  <c r="L123" i="8" s="1"/>
  <c r="O120" i="8"/>
  <c r="N121" i="8" s="1"/>
  <c r="O118" i="8"/>
  <c r="N119" i="8" s="1"/>
  <c r="O116" i="8"/>
  <c r="J117" i="8" s="1"/>
  <c r="O114" i="8"/>
  <c r="N115" i="8" s="1"/>
  <c r="O112" i="8"/>
  <c r="N113" i="8" s="1"/>
  <c r="O110" i="8"/>
  <c r="O108" i="8"/>
  <c r="O144" i="8"/>
  <c r="K134" i="8"/>
  <c r="H134" i="8"/>
  <c r="E134" i="8"/>
  <c r="D126" i="8"/>
  <c r="O106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O99" i="8"/>
  <c r="O98" i="8"/>
  <c r="O97" i="8"/>
  <c r="O96" i="8"/>
  <c r="O95" i="8"/>
  <c r="N69" i="8"/>
  <c r="M69" i="8"/>
  <c r="L69" i="8"/>
  <c r="K69" i="8"/>
  <c r="J69" i="8"/>
  <c r="I69" i="8"/>
  <c r="H69" i="8"/>
  <c r="G69" i="8"/>
  <c r="F69" i="8"/>
  <c r="E69" i="8"/>
  <c r="D69" i="8"/>
  <c r="C69" i="8"/>
  <c r="N68" i="8"/>
  <c r="M68" i="8"/>
  <c r="L68" i="8"/>
  <c r="K68" i="8"/>
  <c r="J68" i="8"/>
  <c r="I68" i="8"/>
  <c r="H68" i="8"/>
  <c r="G68" i="8"/>
  <c r="F68" i="8"/>
  <c r="E68" i="8"/>
  <c r="D68" i="8"/>
  <c r="C68" i="8"/>
  <c r="N67" i="8"/>
  <c r="M67" i="8"/>
  <c r="L67" i="8"/>
  <c r="K67" i="8"/>
  <c r="J67" i="8"/>
  <c r="I67" i="8"/>
  <c r="H67" i="8"/>
  <c r="G67" i="8"/>
  <c r="F67" i="8"/>
  <c r="E67" i="8"/>
  <c r="D67" i="8"/>
  <c r="C67" i="8"/>
  <c r="A4" i="8"/>
  <c r="N111" i="8" l="1"/>
  <c r="C111" i="8"/>
  <c r="C242" i="7"/>
  <c r="J247" i="7"/>
  <c r="G209" i="7"/>
  <c r="D209" i="7"/>
  <c r="O134" i="8"/>
  <c r="N109" i="8"/>
  <c r="O128" i="8"/>
  <c r="L107" i="8"/>
  <c r="C107" i="8"/>
  <c r="C209" i="7"/>
  <c r="J209" i="7"/>
  <c r="O209" i="7"/>
  <c r="I209" i="7"/>
  <c r="L209" i="7"/>
  <c r="N209" i="7"/>
  <c r="K209" i="7"/>
  <c r="H209" i="7"/>
  <c r="F209" i="7"/>
  <c r="M209" i="7"/>
  <c r="E209" i="7"/>
  <c r="H117" i="8"/>
  <c r="D125" i="8"/>
  <c r="K125" i="8"/>
  <c r="D117" i="8"/>
  <c r="N125" i="8"/>
  <c r="F117" i="8"/>
  <c r="C125" i="8"/>
  <c r="I117" i="8"/>
  <c r="E125" i="8"/>
  <c r="M117" i="8"/>
  <c r="G125" i="8"/>
  <c r="H125" i="8"/>
  <c r="M125" i="8"/>
  <c r="F125" i="8"/>
  <c r="L125" i="8"/>
  <c r="H123" i="8"/>
  <c r="E117" i="8"/>
  <c r="N117" i="8"/>
  <c r="G117" i="8"/>
  <c r="K117" i="8"/>
  <c r="C117" i="8"/>
  <c r="L117" i="8"/>
  <c r="G115" i="8"/>
  <c r="H115" i="8"/>
  <c r="K115" i="8"/>
  <c r="L115" i="8"/>
  <c r="M115" i="8"/>
  <c r="C115" i="8"/>
  <c r="D115" i="8"/>
  <c r="E115" i="8"/>
  <c r="I125" i="8"/>
  <c r="E123" i="8"/>
  <c r="M123" i="8"/>
  <c r="F123" i="8"/>
  <c r="N123" i="8"/>
  <c r="G123" i="8"/>
  <c r="I123" i="8"/>
  <c r="C123" i="8"/>
  <c r="K123" i="8"/>
  <c r="J123" i="8"/>
  <c r="D123" i="8"/>
  <c r="G121" i="8"/>
  <c r="H121" i="8"/>
  <c r="I121" i="8"/>
  <c r="J121" i="8"/>
  <c r="K121" i="8"/>
  <c r="D121" i="8"/>
  <c r="L121" i="8"/>
  <c r="C121" i="8"/>
  <c r="E121" i="8"/>
  <c r="M121" i="8"/>
  <c r="F121" i="8"/>
  <c r="K119" i="8"/>
  <c r="G119" i="8"/>
  <c r="D119" i="8"/>
  <c r="L119" i="8"/>
  <c r="J119" i="8"/>
  <c r="E119" i="8"/>
  <c r="M119" i="8"/>
  <c r="H119" i="8"/>
  <c r="I119" i="8"/>
  <c r="C119" i="8"/>
  <c r="F119" i="8"/>
  <c r="I115" i="8"/>
  <c r="J115" i="8"/>
  <c r="F115" i="8"/>
  <c r="J113" i="8"/>
  <c r="G113" i="8"/>
  <c r="H113" i="8"/>
  <c r="I113" i="8"/>
  <c r="C113" i="8"/>
  <c r="K113" i="8"/>
  <c r="D113" i="8"/>
  <c r="L113" i="8"/>
  <c r="E113" i="8"/>
  <c r="M113" i="8"/>
  <c r="F113" i="8"/>
  <c r="I111" i="8"/>
  <c r="J111" i="8"/>
  <c r="D111" i="8"/>
  <c r="G111" i="8"/>
  <c r="H111" i="8"/>
  <c r="E111" i="8"/>
  <c r="M111" i="8"/>
  <c r="K111" i="8"/>
  <c r="L111" i="8"/>
  <c r="F111" i="8"/>
  <c r="J109" i="8"/>
  <c r="C109" i="8"/>
  <c r="K109" i="8"/>
  <c r="G109" i="8"/>
  <c r="H109" i="8"/>
  <c r="I109" i="8"/>
  <c r="D109" i="8"/>
  <c r="L109" i="8"/>
  <c r="E109" i="8"/>
  <c r="M109" i="8"/>
  <c r="F109" i="8"/>
  <c r="I66" i="8"/>
  <c r="D66" i="8"/>
  <c r="L66" i="8"/>
  <c r="H66" i="8"/>
  <c r="E107" i="8"/>
  <c r="K107" i="8"/>
  <c r="E66" i="8"/>
  <c r="M66" i="8"/>
  <c r="F66" i="8"/>
  <c r="N66" i="8"/>
  <c r="G66" i="8"/>
  <c r="M107" i="8"/>
  <c r="J66" i="8"/>
  <c r="C66" i="8"/>
  <c r="K66" i="8"/>
  <c r="O100" i="8"/>
  <c r="F107" i="8"/>
  <c r="N107" i="8"/>
  <c r="G107" i="8"/>
  <c r="H107" i="8"/>
  <c r="I107" i="8"/>
  <c r="J107" i="8"/>
  <c r="D107" i="8"/>
  <c r="J129" i="8" l="1"/>
  <c r="D129" i="8"/>
  <c r="C129" i="8"/>
  <c r="L129" i="8"/>
  <c r="N129" i="8"/>
  <c r="M129" i="8"/>
  <c r="K129" i="8"/>
  <c r="C130" i="8"/>
  <c r="I129" i="8"/>
  <c r="H129" i="8"/>
  <c r="G129" i="8"/>
  <c r="F129" i="8"/>
  <c r="E129" i="8"/>
  <c r="O129" i="8"/>
  <c r="O107" i="8"/>
  <c r="N173" i="2"/>
  <c r="M200" i="7"/>
  <c r="L200" i="7"/>
  <c r="K200" i="7"/>
  <c r="J200" i="7"/>
  <c r="I200" i="7"/>
  <c r="H200" i="7"/>
  <c r="G200" i="7"/>
  <c r="F200" i="7"/>
  <c r="E200" i="7"/>
  <c r="D200" i="7"/>
  <c r="C200" i="7"/>
  <c r="O199" i="7"/>
  <c r="O198" i="7"/>
  <c r="O197" i="7"/>
  <c r="O196" i="7"/>
  <c r="O142" i="2"/>
  <c r="O147" i="2" s="1"/>
  <c r="K192" i="7"/>
  <c r="C143" i="2" l="1"/>
  <c r="K211" i="7"/>
  <c r="H143" i="2"/>
  <c r="O200" i="7"/>
  <c r="N201" i="7" s="1"/>
  <c r="K143" i="2"/>
  <c r="I143" i="2"/>
  <c r="G143" i="2"/>
  <c r="L143" i="2"/>
  <c r="F143" i="2"/>
  <c r="E143" i="2"/>
  <c r="M143" i="2"/>
  <c r="N143" i="2"/>
  <c r="D143" i="2"/>
  <c r="J143" i="2"/>
  <c r="O189" i="7"/>
  <c r="O190" i="7"/>
  <c r="O191" i="7"/>
  <c r="O188" i="7"/>
  <c r="K201" i="7" l="1"/>
  <c r="O235" i="7"/>
  <c r="L201" i="7"/>
  <c r="D201" i="7"/>
  <c r="I201" i="7"/>
  <c r="G201" i="7"/>
  <c r="O201" i="7"/>
  <c r="F201" i="7"/>
  <c r="M201" i="7"/>
  <c r="J201" i="7"/>
  <c r="E201" i="7"/>
  <c r="H201" i="7"/>
  <c r="D192" i="7"/>
  <c r="E192" i="7"/>
  <c r="F192" i="7"/>
  <c r="G192" i="7"/>
  <c r="H192" i="7"/>
  <c r="I192" i="7"/>
  <c r="J192" i="7"/>
  <c r="L192" i="7"/>
  <c r="M192" i="7"/>
  <c r="N192" i="7"/>
  <c r="C192" i="7"/>
  <c r="O140" i="2"/>
  <c r="M184" i="7"/>
  <c r="N184" i="7"/>
  <c r="L184" i="7"/>
  <c r="K184" i="7"/>
  <c r="J184" i="7"/>
  <c r="I184" i="7"/>
  <c r="G184" i="7"/>
  <c r="H184" i="7"/>
  <c r="F184" i="7"/>
  <c r="E184" i="7"/>
  <c r="D184" i="7"/>
  <c r="N211" i="7" l="1"/>
  <c r="D213" i="7"/>
  <c r="L213" i="7"/>
  <c r="J213" i="7"/>
  <c r="K213" i="7"/>
  <c r="E213" i="7"/>
  <c r="N213" i="7"/>
  <c r="M213" i="7"/>
  <c r="I213" i="7"/>
  <c r="H213" i="7"/>
  <c r="G213" i="7"/>
  <c r="F213" i="7"/>
  <c r="L211" i="7"/>
  <c r="J211" i="7"/>
  <c r="I211" i="7"/>
  <c r="H211" i="7"/>
  <c r="F211" i="7"/>
  <c r="E211" i="7"/>
  <c r="G211" i="7"/>
  <c r="M211" i="7"/>
  <c r="C141" i="2"/>
  <c r="O192" i="7"/>
  <c r="G141" i="2"/>
  <c r="F141" i="2"/>
  <c r="H141" i="2"/>
  <c r="N141" i="2"/>
  <c r="K141" i="2"/>
  <c r="I141" i="2"/>
  <c r="J141" i="2"/>
  <c r="D141" i="2"/>
  <c r="L141" i="2"/>
  <c r="E141" i="2"/>
  <c r="M141" i="2"/>
  <c r="C184" i="7"/>
  <c r="C213" i="7" l="1"/>
  <c r="O211" i="7"/>
  <c r="C193" i="7"/>
  <c r="O193" i="7"/>
  <c r="K193" i="7"/>
  <c r="D193" i="7"/>
  <c r="L193" i="7"/>
  <c r="E193" i="7"/>
  <c r="M193" i="7"/>
  <c r="G193" i="7"/>
  <c r="J193" i="7"/>
  <c r="F193" i="7"/>
  <c r="N193" i="7"/>
  <c r="H193" i="7"/>
  <c r="I193" i="7"/>
  <c r="O181" i="7"/>
  <c r="O182" i="7"/>
  <c r="O183" i="7"/>
  <c r="O180" i="7"/>
  <c r="O172" i="7"/>
  <c r="O184" i="7" l="1"/>
  <c r="O138" i="2"/>
  <c r="O136" i="2"/>
  <c r="C137" i="2" s="1"/>
  <c r="O173" i="7"/>
  <c r="O174" i="7"/>
  <c r="O175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O134" i="2"/>
  <c r="C135" i="2" s="1"/>
  <c r="O149" i="2" l="1"/>
  <c r="O213" i="7"/>
  <c r="C214" i="7" s="1"/>
  <c r="O185" i="7"/>
  <c r="M185" i="7"/>
  <c r="N185" i="7"/>
  <c r="L185" i="7"/>
  <c r="C185" i="7"/>
  <c r="I139" i="2"/>
  <c r="C139" i="2"/>
  <c r="J185" i="7"/>
  <c r="K185" i="7"/>
  <c r="I185" i="7"/>
  <c r="E185" i="7"/>
  <c r="D185" i="7"/>
  <c r="F185" i="7"/>
  <c r="G185" i="7"/>
  <c r="H185" i="7"/>
  <c r="N139" i="2"/>
  <c r="D139" i="2"/>
  <c r="K139" i="2"/>
  <c r="M139" i="2"/>
  <c r="F139" i="2"/>
  <c r="G139" i="2"/>
  <c r="E139" i="2"/>
  <c r="H139" i="2"/>
  <c r="J139" i="2"/>
  <c r="L139" i="2"/>
  <c r="M135" i="2"/>
  <c r="O176" i="7"/>
  <c r="K137" i="2"/>
  <c r="L137" i="2"/>
  <c r="E137" i="2"/>
  <c r="G137" i="2"/>
  <c r="I137" i="2"/>
  <c r="J137" i="2"/>
  <c r="M137" i="2"/>
  <c r="D137" i="2"/>
  <c r="F137" i="2"/>
  <c r="N137" i="2"/>
  <c r="H137" i="2"/>
  <c r="N168" i="7"/>
  <c r="N219" i="7" s="1"/>
  <c r="M168" i="7"/>
  <c r="M219" i="7" s="1"/>
  <c r="L168" i="7"/>
  <c r="L219" i="7" s="1"/>
  <c r="K168" i="7"/>
  <c r="K219" i="7" s="1"/>
  <c r="J168" i="7"/>
  <c r="J219" i="7" s="1"/>
  <c r="I168" i="7"/>
  <c r="I219" i="7" s="1"/>
  <c r="H168" i="7"/>
  <c r="H219" i="7" s="1"/>
  <c r="G168" i="7"/>
  <c r="G219" i="7" s="1"/>
  <c r="F168" i="7"/>
  <c r="F219" i="7" s="1"/>
  <c r="E168" i="7"/>
  <c r="E219" i="7" s="1"/>
  <c r="D168" i="7"/>
  <c r="D219" i="7" s="1"/>
  <c r="C168" i="7"/>
  <c r="C219" i="7" s="1"/>
  <c r="O167" i="7"/>
  <c r="O166" i="7"/>
  <c r="O165" i="7"/>
  <c r="O164" i="7"/>
  <c r="C151" i="2" l="1"/>
  <c r="E150" i="2"/>
  <c r="L150" i="2"/>
  <c r="L163" i="2" s="1"/>
  <c r="N150" i="2"/>
  <c r="I151" i="2"/>
  <c r="L151" i="2"/>
  <c r="K151" i="2"/>
  <c r="K150" i="2"/>
  <c r="D150" i="2"/>
  <c r="D163" i="2" s="1"/>
  <c r="D172" i="2" s="1"/>
  <c r="D173" i="2" s="1"/>
  <c r="I150" i="2"/>
  <c r="J150" i="2"/>
  <c r="C150" i="2"/>
  <c r="C163" i="2" s="1"/>
  <c r="C172" i="2" s="1"/>
  <c r="J151" i="2"/>
  <c r="E151" i="2"/>
  <c r="G150" i="2"/>
  <c r="F150" i="2"/>
  <c r="H150" i="2"/>
  <c r="M150" i="2"/>
  <c r="D151" i="2"/>
  <c r="M151" i="2"/>
  <c r="N151" i="2"/>
  <c r="E214" i="7"/>
  <c r="L214" i="7"/>
  <c r="J214" i="7"/>
  <c r="H214" i="7"/>
  <c r="M214" i="7"/>
  <c r="G214" i="7"/>
  <c r="K214" i="7"/>
  <c r="D214" i="7"/>
  <c r="I214" i="7"/>
  <c r="N214" i="7"/>
  <c r="F214" i="7"/>
  <c r="O168" i="7"/>
  <c r="O219" i="7" s="1"/>
  <c r="N220" i="7" s="1"/>
  <c r="O132" i="2"/>
  <c r="F163" i="2" l="1"/>
  <c r="F172" i="2" s="1"/>
  <c r="F173" i="2" s="1"/>
  <c r="H163" i="2"/>
  <c r="H172" i="2" s="1"/>
  <c r="H173" i="2" s="1"/>
  <c r="K163" i="2"/>
  <c r="K172" i="2" s="1"/>
  <c r="K173" i="2" s="1"/>
  <c r="G163" i="2"/>
  <c r="G172" i="2" s="1"/>
  <c r="G173" i="2" s="1"/>
  <c r="N163" i="2"/>
  <c r="N172" i="2" s="1"/>
  <c r="J163" i="2"/>
  <c r="J172" i="2" s="1"/>
  <c r="J173" i="2" s="1"/>
  <c r="M163" i="2"/>
  <c r="M172" i="2" s="1"/>
  <c r="M173" i="2" s="1"/>
  <c r="I163" i="2"/>
  <c r="I172" i="2" s="1"/>
  <c r="I173" i="2" s="1"/>
  <c r="E163" i="2"/>
  <c r="E172" i="2" s="1"/>
  <c r="O150" i="2"/>
  <c r="O163" i="2" s="1"/>
  <c r="L172" i="2"/>
  <c r="L173" i="2" s="1"/>
  <c r="M221" i="7"/>
  <c r="I220" i="7"/>
  <c r="C220" i="7"/>
  <c r="L221" i="7"/>
  <c r="M220" i="7"/>
  <c r="C221" i="7"/>
  <c r="K221" i="7"/>
  <c r="H220" i="7"/>
  <c r="D221" i="7"/>
  <c r="F220" i="7"/>
  <c r="H221" i="7"/>
  <c r="F221" i="7"/>
  <c r="L220" i="7"/>
  <c r="D220" i="7"/>
  <c r="E220" i="7"/>
  <c r="G220" i="7"/>
  <c r="E221" i="7"/>
  <c r="J221" i="7"/>
  <c r="G221" i="7"/>
  <c r="I221" i="7"/>
  <c r="J220" i="7"/>
  <c r="N221" i="7"/>
  <c r="K220" i="7"/>
  <c r="O214" i="7"/>
  <c r="C133" i="2"/>
  <c r="L135" i="2"/>
  <c r="H135" i="2"/>
  <c r="D135" i="2"/>
  <c r="K135" i="2"/>
  <c r="G135" i="2"/>
  <c r="N135" i="2"/>
  <c r="J135" i="2"/>
  <c r="F135" i="2"/>
  <c r="I135" i="2"/>
  <c r="E135" i="2"/>
  <c r="F169" i="7"/>
  <c r="E169" i="7"/>
  <c r="K169" i="7"/>
  <c r="J169" i="7"/>
  <c r="O169" i="7"/>
  <c r="L169" i="7"/>
  <c r="H169" i="7"/>
  <c r="D169" i="7"/>
  <c r="M169" i="7"/>
  <c r="G169" i="7"/>
  <c r="N169" i="7"/>
  <c r="I169" i="7"/>
  <c r="C169" i="7"/>
  <c r="N161" i="2" l="1"/>
  <c r="E173" i="2"/>
  <c r="O172" i="2"/>
  <c r="I175" i="2" s="1"/>
  <c r="J175" i="2" s="1"/>
  <c r="E161" i="2"/>
  <c r="O22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O159" i="7"/>
  <c r="O158" i="7"/>
  <c r="O157" i="7"/>
  <c r="O156" i="7"/>
  <c r="C173" i="2" l="1"/>
  <c r="E243" i="7"/>
  <c r="O160" i="7"/>
  <c r="O161" i="7" l="1"/>
  <c r="J161" i="7"/>
  <c r="E161" i="7"/>
  <c r="G161" i="7"/>
  <c r="F161" i="7"/>
  <c r="L161" i="7"/>
  <c r="C161" i="7"/>
  <c r="M161" i="7"/>
  <c r="H161" i="7"/>
  <c r="K161" i="7"/>
  <c r="N161" i="7"/>
  <c r="I161" i="7"/>
  <c r="D161" i="7"/>
  <c r="O128" i="2" l="1"/>
  <c r="M133" i="2" l="1"/>
  <c r="D133" i="2"/>
  <c r="I133" i="2"/>
  <c r="E133" i="2"/>
  <c r="J133" i="2"/>
  <c r="N133" i="2"/>
  <c r="F133" i="2"/>
  <c r="K133" i="2"/>
  <c r="H133" i="2"/>
  <c r="G133" i="2"/>
  <c r="L133" i="2"/>
  <c r="O130" i="2" l="1"/>
  <c r="C131" i="2" l="1"/>
  <c r="H152" i="7"/>
  <c r="G152" i="7"/>
  <c r="G144" i="7"/>
  <c r="E152" i="7"/>
  <c r="F152" i="7"/>
  <c r="C152" i="7"/>
  <c r="D152" i="7"/>
  <c r="I152" i="7"/>
  <c r="J152" i="7"/>
  <c r="K152" i="7"/>
  <c r="L152" i="7"/>
  <c r="M152" i="7"/>
  <c r="N152" i="7"/>
  <c r="O148" i="7"/>
  <c r="O149" i="7"/>
  <c r="O150" i="7"/>
  <c r="O151" i="7"/>
  <c r="H131" i="2"/>
  <c r="C144" i="7"/>
  <c r="D144" i="7"/>
  <c r="E144" i="7"/>
  <c r="O141" i="7"/>
  <c r="O142" i="7"/>
  <c r="O143" i="7"/>
  <c r="O140" i="7"/>
  <c r="F144" i="7"/>
  <c r="H144" i="7"/>
  <c r="I144" i="7"/>
  <c r="J144" i="7"/>
  <c r="K144" i="7"/>
  <c r="L144" i="7"/>
  <c r="M144" i="7"/>
  <c r="N144" i="7"/>
  <c r="A4" i="7"/>
  <c r="C67" i="7"/>
  <c r="D67" i="7"/>
  <c r="E67" i="7"/>
  <c r="F67" i="7"/>
  <c r="G67" i="7"/>
  <c r="H67" i="7"/>
  <c r="I67" i="7"/>
  <c r="J67" i="7"/>
  <c r="K67" i="7"/>
  <c r="L67" i="7"/>
  <c r="M67" i="7"/>
  <c r="N67" i="7"/>
  <c r="C68" i="7"/>
  <c r="D68" i="7"/>
  <c r="E68" i="7"/>
  <c r="F68" i="7"/>
  <c r="G68" i="7"/>
  <c r="H68" i="7"/>
  <c r="I68" i="7"/>
  <c r="J68" i="7"/>
  <c r="K68" i="7"/>
  <c r="L68" i="7"/>
  <c r="M68" i="7"/>
  <c r="N68" i="7"/>
  <c r="C69" i="7"/>
  <c r="D69" i="7"/>
  <c r="E69" i="7"/>
  <c r="F69" i="7"/>
  <c r="G69" i="7"/>
  <c r="H69" i="7"/>
  <c r="I69" i="7"/>
  <c r="J69" i="7"/>
  <c r="K69" i="7"/>
  <c r="L69" i="7"/>
  <c r="M69" i="7"/>
  <c r="N69" i="7"/>
  <c r="O95" i="7"/>
  <c r="O96" i="7"/>
  <c r="O97" i="7"/>
  <c r="O98" i="7"/>
  <c r="O99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F106" i="7"/>
  <c r="O106" i="7" s="1"/>
  <c r="O107" i="7"/>
  <c r="O108" i="7"/>
  <c r="O109" i="7"/>
  <c r="O110" i="7"/>
  <c r="C111" i="7"/>
  <c r="D111" i="7"/>
  <c r="E111" i="7"/>
  <c r="G111" i="7"/>
  <c r="H111" i="7"/>
  <c r="I111" i="7"/>
  <c r="J111" i="7"/>
  <c r="K111" i="7"/>
  <c r="L111" i="7"/>
  <c r="M111" i="7"/>
  <c r="N111" i="7"/>
  <c r="O116" i="7"/>
  <c r="O117" i="7"/>
  <c r="O118" i="7"/>
  <c r="O119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4" i="7"/>
  <c r="O125" i="7"/>
  <c r="O126" i="7"/>
  <c r="O127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O132" i="7"/>
  <c r="O133" i="7"/>
  <c r="O134" i="7"/>
  <c r="O135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C217" i="7"/>
  <c r="D217" i="7" s="1"/>
  <c r="E217" i="7" s="1"/>
  <c r="F217" i="7" s="1"/>
  <c r="G217" i="7" s="1"/>
  <c r="H217" i="7" s="1"/>
  <c r="L236" i="7"/>
  <c r="O236" i="7" s="1"/>
  <c r="M236" i="7"/>
  <c r="N236" i="7"/>
  <c r="O239" i="7"/>
  <c r="A4" i="2"/>
  <c r="C67" i="2"/>
  <c r="D67" i="2"/>
  <c r="E67" i="2"/>
  <c r="F67" i="2"/>
  <c r="G67" i="2"/>
  <c r="H67" i="2"/>
  <c r="I67" i="2"/>
  <c r="J67" i="2"/>
  <c r="K67" i="2"/>
  <c r="L67" i="2"/>
  <c r="M67" i="2"/>
  <c r="N67" i="2"/>
  <c r="C68" i="2"/>
  <c r="D68" i="2"/>
  <c r="E68" i="2"/>
  <c r="F68" i="2"/>
  <c r="G68" i="2"/>
  <c r="H68" i="2"/>
  <c r="I68" i="2"/>
  <c r="J68" i="2"/>
  <c r="K68" i="2"/>
  <c r="L68" i="2"/>
  <c r="M68" i="2"/>
  <c r="N68" i="2"/>
  <c r="C69" i="2"/>
  <c r="D69" i="2"/>
  <c r="E69" i="2"/>
  <c r="F69" i="2"/>
  <c r="G69" i="2"/>
  <c r="H69" i="2"/>
  <c r="I69" i="2"/>
  <c r="J69" i="2"/>
  <c r="K69" i="2"/>
  <c r="L69" i="2"/>
  <c r="M69" i="2"/>
  <c r="N69" i="2"/>
  <c r="O95" i="2"/>
  <c r="O96" i="2"/>
  <c r="O97" i="2"/>
  <c r="O98" i="2"/>
  <c r="O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F106" i="2"/>
  <c r="G106" i="2"/>
  <c r="H106" i="2"/>
  <c r="I106" i="2"/>
  <c r="J106" i="2"/>
  <c r="K106" i="2"/>
  <c r="L106" i="2"/>
  <c r="M106" i="2"/>
  <c r="N106" i="2"/>
  <c r="C108" i="2"/>
  <c r="D108" i="2"/>
  <c r="E108" i="2"/>
  <c r="F108" i="2"/>
  <c r="G108" i="2"/>
  <c r="H108" i="2"/>
  <c r="M108" i="2"/>
  <c r="N108" i="2"/>
  <c r="I110" i="2"/>
  <c r="J110" i="2"/>
  <c r="O112" i="2"/>
  <c r="D113" i="2" s="1"/>
  <c r="O114" i="2"/>
  <c r="D115" i="2" s="1"/>
  <c r="O116" i="2"/>
  <c r="N117" i="2" s="1"/>
  <c r="O118" i="2"/>
  <c r="D119" i="2" s="1"/>
  <c r="C120" i="2"/>
  <c r="D120" i="2"/>
  <c r="E120" i="2"/>
  <c r="F120" i="2"/>
  <c r="G120" i="2"/>
  <c r="H120" i="2"/>
  <c r="I120" i="2"/>
  <c r="J120" i="2"/>
  <c r="K120" i="2"/>
  <c r="L120" i="2"/>
  <c r="M120" i="2"/>
  <c r="N120" i="2"/>
  <c r="C122" i="2"/>
  <c r="D122" i="2"/>
  <c r="E122" i="2"/>
  <c r="F122" i="2"/>
  <c r="G122" i="2"/>
  <c r="H122" i="2"/>
  <c r="O124" i="2"/>
  <c r="D125" i="2" s="1"/>
  <c r="O126" i="2"/>
  <c r="N127" i="2" s="1"/>
  <c r="H161" i="2"/>
  <c r="K161" i="2"/>
  <c r="L167" i="2"/>
  <c r="M167" i="2"/>
  <c r="N167" i="2"/>
  <c r="O170" i="2"/>
  <c r="H129" i="2"/>
  <c r="I129" i="2"/>
  <c r="L129" i="2"/>
  <c r="J129" i="2"/>
  <c r="G129" i="2"/>
  <c r="N129" i="2"/>
  <c r="E129" i="2"/>
  <c r="M129" i="2"/>
  <c r="K129" i="2"/>
  <c r="F129" i="2"/>
  <c r="J131" i="2"/>
  <c r="D131" i="2"/>
  <c r="M131" i="2"/>
  <c r="I131" i="2"/>
  <c r="N131" i="2"/>
  <c r="L131" i="2"/>
  <c r="K131" i="2"/>
  <c r="F131" i="2"/>
  <c r="G131" i="2"/>
  <c r="E131" i="2"/>
  <c r="J117" i="2" l="1"/>
  <c r="N125" i="2"/>
  <c r="I125" i="2"/>
  <c r="H125" i="2"/>
  <c r="K113" i="2"/>
  <c r="I113" i="2"/>
  <c r="L113" i="2"/>
  <c r="J113" i="2"/>
  <c r="G66" i="7"/>
  <c r="F117" i="2"/>
  <c r="G117" i="2"/>
  <c r="M117" i="2"/>
  <c r="N115" i="2"/>
  <c r="L66" i="7"/>
  <c r="E66" i="7"/>
  <c r="E113" i="2"/>
  <c r="D66" i="7"/>
  <c r="G113" i="2"/>
  <c r="F113" i="2"/>
  <c r="K117" i="2"/>
  <c r="H113" i="2"/>
  <c r="M113" i="2"/>
  <c r="J125" i="2"/>
  <c r="M125" i="2"/>
  <c r="L66" i="2"/>
  <c r="H66" i="2"/>
  <c r="O136" i="7"/>
  <c r="H137" i="7" s="1"/>
  <c r="C113" i="2"/>
  <c r="O167" i="2"/>
  <c r="O100" i="7"/>
  <c r="L117" i="2"/>
  <c r="N113" i="2"/>
  <c r="E117" i="2"/>
  <c r="L125" i="2"/>
  <c r="F127" i="2"/>
  <c r="O106" i="2"/>
  <c r="C107" i="2" s="1"/>
  <c r="K66" i="2"/>
  <c r="M66" i="7"/>
  <c r="O144" i="7"/>
  <c r="G145" i="7" s="1"/>
  <c r="K127" i="2"/>
  <c r="M127" i="2"/>
  <c r="M66" i="2"/>
  <c r="J66" i="7"/>
  <c r="C66" i="7"/>
  <c r="H66" i="7"/>
  <c r="O120" i="7"/>
  <c r="L121" i="7" s="1"/>
  <c r="O217" i="7"/>
  <c r="E115" i="2"/>
  <c r="H117" i="2"/>
  <c r="D117" i="2"/>
  <c r="E119" i="2"/>
  <c r="C127" i="2"/>
  <c r="I127" i="2"/>
  <c r="F66" i="7"/>
  <c r="O120" i="2"/>
  <c r="L121" i="2" s="1"/>
  <c r="C117" i="2"/>
  <c r="J66" i="2"/>
  <c r="L127" i="2"/>
  <c r="G127" i="2"/>
  <c r="O128" i="7"/>
  <c r="H129" i="7" s="1"/>
  <c r="I66" i="7"/>
  <c r="H119" i="2"/>
  <c r="E127" i="2"/>
  <c r="I117" i="2"/>
  <c r="N66" i="2"/>
  <c r="D127" i="2"/>
  <c r="J127" i="2"/>
  <c r="H127" i="2"/>
  <c r="O110" i="2"/>
  <c r="D111" i="2" s="1"/>
  <c r="O108" i="2"/>
  <c r="K109" i="2" s="1"/>
  <c r="G66" i="2"/>
  <c r="O100" i="2"/>
  <c r="N66" i="7"/>
  <c r="K66" i="7"/>
  <c r="F111" i="7"/>
  <c r="D129" i="2"/>
  <c r="I66" i="2"/>
  <c r="I115" i="2"/>
  <c r="F66" i="2"/>
  <c r="C119" i="2"/>
  <c r="J119" i="2"/>
  <c r="J115" i="2"/>
  <c r="C125" i="2"/>
  <c r="F119" i="2"/>
  <c r="E66" i="2"/>
  <c r="C115" i="2"/>
  <c r="I119" i="2"/>
  <c r="N119" i="2"/>
  <c r="G119" i="2"/>
  <c r="L119" i="2"/>
  <c r="K125" i="2"/>
  <c r="C129" i="2"/>
  <c r="H115" i="2"/>
  <c r="M115" i="2"/>
  <c r="D66" i="2"/>
  <c r="L115" i="2"/>
  <c r="C66" i="2"/>
  <c r="K115" i="2"/>
  <c r="F115" i="2"/>
  <c r="M119" i="2"/>
  <c r="G115" i="2"/>
  <c r="K119" i="2"/>
  <c r="F125" i="2"/>
  <c r="E125" i="2"/>
  <c r="G125" i="2"/>
  <c r="O122" i="2"/>
  <c r="N123" i="2" s="1"/>
  <c r="N243" i="7"/>
  <c r="M243" i="7"/>
  <c r="G243" i="7"/>
  <c r="H243" i="7"/>
  <c r="O173" i="2"/>
  <c r="J243" i="7"/>
  <c r="O152" i="7"/>
  <c r="J145" i="7" l="1"/>
  <c r="D145" i="7"/>
  <c r="I145" i="7"/>
  <c r="L145" i="7"/>
  <c r="F156" i="2"/>
  <c r="H158" i="2"/>
  <c r="H156" i="2"/>
  <c r="H157" i="2"/>
  <c r="J129" i="7"/>
  <c r="C121" i="2"/>
  <c r="I121" i="2"/>
  <c r="J111" i="2"/>
  <c r="E111" i="2"/>
  <c r="E129" i="7"/>
  <c r="G121" i="7"/>
  <c r="O121" i="7"/>
  <c r="M145" i="7"/>
  <c r="C145" i="7"/>
  <c r="E145" i="7"/>
  <c r="D121" i="2"/>
  <c r="K121" i="2"/>
  <c r="G121" i="2"/>
  <c r="C111" i="2"/>
  <c r="H121" i="2"/>
  <c r="E107" i="2"/>
  <c r="E121" i="2"/>
  <c r="J109" i="2"/>
  <c r="N111" i="2"/>
  <c r="I107" i="2"/>
  <c r="K107" i="2"/>
  <c r="K111" i="2"/>
  <c r="H107" i="2"/>
  <c r="M109" i="2"/>
  <c r="L111" i="2"/>
  <c r="M121" i="2"/>
  <c r="J107" i="2"/>
  <c r="N121" i="2"/>
  <c r="F121" i="2"/>
  <c r="M111" i="2"/>
  <c r="H109" i="2"/>
  <c r="J121" i="2"/>
  <c r="H111" i="2"/>
  <c r="F111" i="2"/>
  <c r="G111" i="2"/>
  <c r="I111" i="2"/>
  <c r="N145" i="7"/>
  <c r="H145" i="7"/>
  <c r="K145" i="7"/>
  <c r="F145" i="7"/>
  <c r="O145" i="7"/>
  <c r="M137" i="7"/>
  <c r="G137" i="7"/>
  <c r="D137" i="7"/>
  <c r="G107" i="2"/>
  <c r="N107" i="2"/>
  <c r="F107" i="2"/>
  <c r="D129" i="7"/>
  <c r="O137" i="7"/>
  <c r="M107" i="2"/>
  <c r="F137" i="7"/>
  <c r="J137" i="7"/>
  <c r="N137" i="7"/>
  <c r="C137" i="7"/>
  <c r="E137" i="7"/>
  <c r="L107" i="2"/>
  <c r="D107" i="2"/>
  <c r="L129" i="7"/>
  <c r="L137" i="7"/>
  <c r="I137" i="7"/>
  <c r="K137" i="7"/>
  <c r="E109" i="2"/>
  <c r="C109" i="2"/>
  <c r="I109" i="2"/>
  <c r="F129" i="7"/>
  <c r="G129" i="7"/>
  <c r="M129" i="7"/>
  <c r="L109" i="2"/>
  <c r="G109" i="2"/>
  <c r="N109" i="2"/>
  <c r="N129" i="7"/>
  <c r="C129" i="7"/>
  <c r="K129" i="7"/>
  <c r="D121" i="7"/>
  <c r="F121" i="7"/>
  <c r="I121" i="7"/>
  <c r="K121" i="7"/>
  <c r="M121" i="7"/>
  <c r="H121" i="7"/>
  <c r="N121" i="7"/>
  <c r="J121" i="7"/>
  <c r="C121" i="7"/>
  <c r="E121" i="7"/>
  <c r="D109" i="2"/>
  <c r="F109" i="2"/>
  <c r="I129" i="7"/>
  <c r="O129" i="7"/>
  <c r="D243" i="7"/>
  <c r="O111" i="7"/>
  <c r="F123" i="2"/>
  <c r="E123" i="2"/>
  <c r="G123" i="2"/>
  <c r="H123" i="2"/>
  <c r="G151" i="2"/>
  <c r="H151" i="2"/>
  <c r="F151" i="2"/>
  <c r="D158" i="2"/>
  <c r="D159" i="2" s="1"/>
  <c r="C123" i="2"/>
  <c r="M123" i="2"/>
  <c r="I123" i="2"/>
  <c r="J123" i="2"/>
  <c r="K123" i="2"/>
  <c r="L123" i="2"/>
  <c r="D123" i="2"/>
  <c r="J153" i="7"/>
  <c r="L243" i="7"/>
  <c r="K243" i="7"/>
  <c r="L153" i="7"/>
  <c r="D153" i="7"/>
  <c r="I153" i="7"/>
  <c r="K153" i="7"/>
  <c r="O153" i="7"/>
  <c r="C153" i="7"/>
  <c r="H153" i="7"/>
  <c r="E153" i="7"/>
  <c r="M153" i="7"/>
  <c r="N153" i="7"/>
  <c r="G153" i="7"/>
  <c r="F153" i="7"/>
  <c r="F157" i="2" l="1"/>
  <c r="F158" i="2"/>
  <c r="M215" i="7"/>
  <c r="K215" i="7"/>
  <c r="J215" i="7"/>
  <c r="H215" i="7"/>
  <c r="G215" i="7"/>
  <c r="D215" i="7"/>
  <c r="L215" i="7"/>
  <c r="F215" i="7"/>
  <c r="I215" i="7"/>
  <c r="C215" i="7"/>
  <c r="N215" i="7"/>
  <c r="E215" i="7"/>
  <c r="O113" i="7"/>
  <c r="D113" i="7"/>
  <c r="H113" i="7"/>
  <c r="J113" i="7"/>
  <c r="G113" i="7"/>
  <c r="C113" i="7"/>
  <c r="L113" i="7"/>
  <c r="N113" i="7"/>
  <c r="K113" i="7"/>
  <c r="M113" i="7"/>
  <c r="I113" i="7"/>
  <c r="E113" i="7"/>
  <c r="F113" i="7"/>
  <c r="I243" i="7"/>
  <c r="F243" i="7"/>
  <c r="C177" i="7" l="1"/>
  <c r="H177" i="7"/>
  <c r="G177" i="7"/>
  <c r="I177" i="7"/>
  <c r="N177" i="7"/>
  <c r="F177" i="7"/>
  <c r="D177" i="7"/>
  <c r="M177" i="7"/>
  <c r="E177" i="7"/>
  <c r="L177" i="7"/>
  <c r="K177" i="7"/>
  <c r="O177" i="7"/>
  <c r="J177" i="7"/>
  <c r="E231" i="7"/>
  <c r="K231" i="7"/>
  <c r="N231" i="7"/>
  <c r="M231" i="7"/>
  <c r="D231" i="7"/>
  <c r="H231" i="7"/>
  <c r="F231" i="7"/>
  <c r="C243" i="7"/>
  <c r="G231" i="7"/>
  <c r="L231" i="7"/>
  <c r="J231" i="7"/>
  <c r="I231" i="7"/>
  <c r="K229" i="7" s="1"/>
  <c r="E229" i="7"/>
  <c r="O232" i="7"/>
  <c r="H229" i="7" l="1"/>
  <c r="O231" i="7"/>
  <c r="N229" i="7"/>
  <c r="O229" i="7"/>
  <c r="O242" i="7"/>
  <c r="I245" i="7" s="1"/>
  <c r="O243" i="7" l="1"/>
</calcChain>
</file>

<file path=xl/sharedStrings.xml><?xml version="1.0" encoding="utf-8"?>
<sst xmlns="http://schemas.openxmlformats.org/spreadsheetml/2006/main" count="531" uniqueCount="129">
  <si>
    <t>*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</si>
  <si>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</si>
  <si>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</si>
  <si>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</si>
  <si>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</si>
  <si>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</si>
  <si>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</si>
  <si>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</si>
  <si>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</si>
  <si>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</si>
  <si>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</si>
  <si>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</si>
  <si>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</si>
  <si>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Key:</t>
  </si>
  <si>
    <t>Town of Mammoth Lakes</t>
  </si>
  <si>
    <t>Transient Occupancy Tax (TOT)</t>
  </si>
  <si>
    <t>YTD</t>
  </si>
  <si>
    <t>Year</t>
  </si>
  <si>
    <t>Mid 4</t>
  </si>
  <si>
    <t>(December has proven to be the top month for the years considered and for the overall average)</t>
  </si>
  <si>
    <t>TBD (To Be Determined)</t>
  </si>
  <si>
    <t>TOT Revenue Collection Tracking</t>
  </si>
  <si>
    <t>Lowest 4</t>
  </si>
  <si>
    <t>Highest 4</t>
  </si>
  <si>
    <t>Average</t>
  </si>
  <si>
    <t>Garden Grove #14, Newport Beach #12, Santa Barbara #11, Anaheim, LA (#2), and San Francisco (#1)</t>
  </si>
  <si>
    <t>Table 1.  COLOR RANKING BY HIGHEST TOT REVENUE COLLECTION MONTHS</t>
  </si>
  <si>
    <t>Mammoth Lakes ranks #1 in CA TOT per capita and #17 in TOT revenue, behind cities like Oakland #15,</t>
  </si>
  <si>
    <t>SUPPORTING ANALYSIS &amp; DATA</t>
  </si>
  <si>
    <t>In TOT/capita Yountville-Napa (Wineries) then Indian Wells (Golf, Tennis, Resorts...) follow the Town.</t>
  </si>
  <si>
    <t>b</t>
  </si>
  <si>
    <t xml:space="preserve">Averages include completed years (2006 through 2011) </t>
  </si>
  <si>
    <t>1.  TOT REVENUE COLLECTIONS by CALENDAR year</t>
  </si>
  <si>
    <t>1.  TOT REVENUE COLLECTIONS by FISCAL year</t>
  </si>
  <si>
    <t>2006-2007</t>
  </si>
  <si>
    <t>2007-2008</t>
  </si>
  <si>
    <t>2008-2009</t>
  </si>
  <si>
    <t>2009-2010</t>
  </si>
  <si>
    <t>2010-2011</t>
  </si>
  <si>
    <t>2011-2012 YTD</t>
  </si>
  <si>
    <t>YTD collection as % of Full Year</t>
  </si>
  <si>
    <t>Average YTD collection as % of Full Year</t>
  </si>
  <si>
    <t>% change from prior year</t>
  </si>
  <si>
    <t>TRANSIENT OCCUPANCY TAX PROJECTIONS FOR FY 2012-13 - REVISED IN NOVEMBER 2012</t>
  </si>
  <si>
    <t>2011-2012</t>
  </si>
  <si>
    <t>2012-2013</t>
  </si>
  <si>
    <t>Net to Town's General Fund</t>
  </si>
  <si>
    <t>less Transit</t>
  </si>
  <si>
    <t>less Tourism</t>
  </si>
  <si>
    <t>Average Monthly collection as % of Full Year</t>
  </si>
  <si>
    <t>FY 11-12 ACTUAL collection</t>
  </si>
  <si>
    <t>FY 12-13 ACTUAL YTD enforcement revenues (included in the above actuals)</t>
  </si>
  <si>
    <t>July-March</t>
  </si>
  <si>
    <t>July-April</t>
  </si>
  <si>
    <t>July-May</t>
  </si>
  <si>
    <t>July-June</t>
  </si>
  <si>
    <t>2013-2014</t>
  </si>
  <si>
    <t>Average monthly collection prior 3 yrs</t>
  </si>
  <si>
    <t>Quarter Total:</t>
  </si>
  <si>
    <t>Net to MLT</t>
  </si>
  <si>
    <t>2014-15 Aggregate</t>
  </si>
  <si>
    <t>Ski</t>
  </si>
  <si>
    <t>Retail</t>
  </si>
  <si>
    <t>Restaurant</t>
  </si>
  <si>
    <t>Lodging</t>
  </si>
  <si>
    <t>Exempt/flat</t>
  </si>
  <si>
    <t>2013-2014 Aggregate</t>
  </si>
  <si>
    <t>1.  TBID  REVENUE COLLECTIONS by FISCAL year</t>
  </si>
  <si>
    <t>2015-16 Aggregate</t>
  </si>
  <si>
    <t>Percent over/(under) budget</t>
  </si>
  <si>
    <t>2014-2015</t>
  </si>
  <si>
    <t>2015-2016</t>
  </si>
  <si>
    <t>2016-2017</t>
  </si>
  <si>
    <t>2016-17 Aggregate</t>
  </si>
  <si>
    <t>2017-2018</t>
  </si>
  <si>
    <t>2017-18 Aggregate</t>
  </si>
  <si>
    <t xml:space="preserve">Rate </t>
  </si>
  <si>
    <t xml:space="preserve">Estimated Reserves (*) </t>
  </si>
  <si>
    <t>* Based on performance to budget YTD, final reserve account balances will be determined by actual performance to budget at completion of Fiscal Year</t>
  </si>
  <si>
    <t xml:space="preserve">less Housing </t>
  </si>
  <si>
    <t>Rate of Contribution (Month)</t>
  </si>
  <si>
    <t>Variance to Budget:</t>
  </si>
  <si>
    <t>Variance to Last Year:</t>
  </si>
  <si>
    <t>2018-2019</t>
  </si>
  <si>
    <t>2018-19 Aggregate</t>
  </si>
  <si>
    <t>Actual Reserves</t>
  </si>
  <si>
    <t>2019-2020</t>
  </si>
  <si>
    <t>2019-20 Aggregate</t>
  </si>
  <si>
    <t>2020-2021</t>
  </si>
  <si>
    <t>2020-21 Aggregate</t>
  </si>
  <si>
    <t xml:space="preserve">2021-2022 </t>
  </si>
  <si>
    <t>2021-2022 Aggregate</t>
  </si>
  <si>
    <t xml:space="preserve">2022-2023 </t>
  </si>
  <si>
    <t>2022-2023 Aggregate</t>
  </si>
  <si>
    <t>Cumulative difference to date:</t>
  </si>
  <si>
    <t>Percent Over/(Under) Budget</t>
  </si>
  <si>
    <t xml:space="preserve">2023-2024 </t>
  </si>
  <si>
    <t>2023-2024 Aggregate</t>
  </si>
  <si>
    <t>Less Admin fee</t>
  </si>
  <si>
    <t>Ski Resorts &amp; Golf Courses</t>
  </si>
  <si>
    <t>2024-2025</t>
  </si>
  <si>
    <t>2024-2025 Aggregate</t>
  </si>
  <si>
    <t>2024-2025 - Year 1</t>
  </si>
  <si>
    <t>2025-2026 - Year 2</t>
  </si>
  <si>
    <t>2026-2027 - Year 3</t>
  </si>
  <si>
    <t>2027-2028 - Year 4</t>
  </si>
  <si>
    <t>2028-2029 - Year 5</t>
  </si>
  <si>
    <t>2029-2030 - Year 6</t>
  </si>
  <si>
    <t>2030-2031 - Year 7</t>
  </si>
  <si>
    <t>2031-2032 - Year 8</t>
  </si>
  <si>
    <t>2032-2033 - Year 9</t>
  </si>
  <si>
    <t>2033-2034 - Year 10</t>
  </si>
  <si>
    <t>2025-2026</t>
  </si>
  <si>
    <t>2. TOT Budget and Estimates (FY 2025-2026)</t>
  </si>
  <si>
    <t>FY 25-26 Budgeted Monthly Revenue</t>
  </si>
  <si>
    <t>FY 25-26 Actual Collection</t>
  </si>
  <si>
    <t>FY 25-26  Differences: Budget vs Actuals YTD</t>
  </si>
  <si>
    <t>Average monthly collection prior 5 yrs</t>
  </si>
  <si>
    <t>Average Monthly collection 3 Year as % of Full Year</t>
  </si>
  <si>
    <t>2025-2026 Aggregate</t>
  </si>
  <si>
    <t>FY 25-26  BUDGETED full-year revenue</t>
  </si>
  <si>
    <t>FY 25-26 BUDGETED monthly revenue</t>
  </si>
  <si>
    <t>FY 25-26 ACTUAL collection</t>
  </si>
  <si>
    <t>FY 25-26 Differences: Budget vs Actuals YTD</t>
  </si>
  <si>
    <r>
      <rPr>
        <b/>
        <i/>
        <sz val="16"/>
        <rFont val="Arial"/>
        <family val="2"/>
      </rPr>
      <t>T</t>
    </r>
    <r>
      <rPr>
        <b/>
        <i/>
        <sz val="14"/>
        <rFont val="Arial"/>
        <family val="2"/>
      </rPr>
      <t>ransient Occupancy Tax</t>
    </r>
    <r>
      <rPr>
        <b/>
        <i/>
        <sz val="16"/>
        <rFont val="Arial"/>
        <family val="2"/>
      </rPr>
      <t xml:space="preserve">   </t>
    </r>
    <r>
      <rPr>
        <b/>
        <i/>
        <sz val="12"/>
        <rFont val="Arial"/>
        <family val="2"/>
      </rPr>
      <t xml:space="preserve">              </t>
    </r>
    <r>
      <rPr>
        <b/>
        <i/>
        <sz val="11"/>
        <rFont val="Arial"/>
        <family val="2"/>
      </rPr>
      <t>Collection through August 2025</t>
    </r>
  </si>
  <si>
    <t>Average monthly collection prior 2 yrs</t>
  </si>
  <si>
    <t>2. TOT Budgets and Estimates - Measure L  (FY 2025-2026)</t>
  </si>
  <si>
    <t>2. TBID Budgets and Estimates (FY 2025-2026)</t>
  </si>
  <si>
    <t xml:space="preserve">Variance of Budget vs Actuals: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</si>
</sst>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\(#,##0\);_(* &quot;-&quot;_);_(@_)"/>
    <numFmt numFmtId="165" formatCode="_(&quot;$&quot;\ #,##0_);&quot;$&quot;\ \ \(#,##0\);_(&quot;$&quot;\ &quot;-&quot;_);_(@_)"/>
    <numFmt numFmtId="166" formatCode="_(&quot;$&quot;\ #,##0_);[Red]_(&quot;$&quot;\ \ \(#,##0\);_(&quot;$&quot;\ &quot;-&quot;_);_(@_)"/>
    <numFmt numFmtId="167" formatCode="0.0%"/>
    <numFmt numFmtId="168" formatCode="_(&quot;$&quot;* #,##0_);_(&quot;$&quot;* \(#,##0\);_(&quot;$&quot;* &quot;-&quot;??_);_(@_)"/>
    <numFmt numFmtId="169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0"/>
      <color indexed="23"/>
      <name val="Arial"/>
      <family val="2"/>
    </font>
    <font>
      <i/>
      <sz val="10"/>
      <name val="Arial"/>
      <family val="2"/>
    </font>
    <font>
      <i/>
      <sz val="9"/>
      <color indexed="9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i/>
      <sz val="8"/>
      <color indexed="55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8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medium">
        <color indexed="8"/>
      </top>
      <bottom style="hair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medium">
        <color indexed="8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/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14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5" fillId="2" borderId="0" xfId="0" applyFont="1" applyFill="1"/>
    <xf numFmtId="0" fontId="5" fillId="2" borderId="3" xfId="0" applyFont="1" applyFill="1" applyBorder="1"/>
    <xf numFmtId="0" fontId="5" fillId="2" borderId="4" xfId="0" applyFont="1" applyFill="1" applyBorder="1"/>
    <xf numFmtId="164" fontId="3" fillId="0" borderId="0" xfId="0" applyNumberFormat="1" applyFont="1"/>
    <xf numFmtId="0" fontId="3" fillId="3" borderId="0" xfId="0" applyFont="1" applyFill="1"/>
    <xf numFmtId="165" fontId="0" fillId="0" borderId="1" xfId="0" applyNumberFormat="1" applyBorder="1"/>
    <xf numFmtId="0" fontId="3" fillId="4" borderId="0" xfId="0" applyFont="1" applyFill="1" applyAlignment="1">
      <alignment horizontal="center"/>
    </xf>
    <xf numFmtId="0" fontId="7" fillId="0" borderId="0" xfId="0" quotePrefix="1" applyFont="1"/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0" xfId="0" applyFill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7" borderId="9" xfId="0" applyFill="1" applyBorder="1"/>
    <xf numFmtId="164" fontId="3" fillId="8" borderId="9" xfId="0" applyNumberFormat="1" applyFont="1" applyFill="1" applyBorder="1" applyAlignment="1">
      <alignment horizontal="center"/>
    </xf>
    <xf numFmtId="164" fontId="3" fillId="7" borderId="9" xfId="0" applyNumberFormat="1" applyFont="1" applyFill="1" applyBorder="1" applyAlignment="1">
      <alignment horizontal="center"/>
    </xf>
    <xf numFmtId="164" fontId="3" fillId="7" borderId="4" xfId="0" applyNumberFormat="1" applyFont="1" applyFill="1" applyBorder="1" applyAlignment="1">
      <alignment horizontal="center"/>
    </xf>
    <xf numFmtId="165" fontId="0" fillId="0" borderId="10" xfId="0" applyNumberFormat="1" applyBorder="1"/>
    <xf numFmtId="164" fontId="0" fillId="7" borderId="4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9" fillId="7" borderId="0" xfId="0" applyFont="1" applyFill="1"/>
    <xf numFmtId="0" fontId="5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2" borderId="12" xfId="0" applyFont="1" applyFill="1" applyBorder="1" applyAlignment="1">
      <alignment horizontal="left" vertical="center"/>
    </xf>
    <xf numFmtId="0" fontId="0" fillId="7" borderId="13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164" fontId="7" fillId="0" borderId="0" xfId="0" applyNumberFormat="1" applyFont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1" xfId="0" applyBorder="1" applyAlignment="1">
      <alignment horizontal="left"/>
    </xf>
    <xf numFmtId="0" fontId="0" fillId="0" borderId="21" xfId="0" applyBorder="1"/>
    <xf numFmtId="166" fontId="0" fillId="0" borderId="21" xfId="0" applyNumberFormat="1" applyBorder="1"/>
    <xf numFmtId="164" fontId="0" fillId="0" borderId="21" xfId="0" applyNumberFormat="1" applyBorder="1"/>
    <xf numFmtId="0" fontId="11" fillId="0" borderId="21" xfId="0" applyFont="1" applyBorder="1"/>
    <xf numFmtId="164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left"/>
    </xf>
    <xf numFmtId="0" fontId="3" fillId="0" borderId="21" xfId="0" applyFont="1" applyBorder="1"/>
    <xf numFmtId="165" fontId="3" fillId="0" borderId="21" xfId="0" applyNumberFormat="1" applyFont="1" applyBorder="1"/>
    <xf numFmtId="164" fontId="3" fillId="0" borderId="21" xfId="0" applyNumberFormat="1" applyFont="1" applyBorder="1"/>
    <xf numFmtId="0" fontId="3" fillId="0" borderId="0" xfId="0" applyFont="1"/>
    <xf numFmtId="0" fontId="3" fillId="7" borderId="12" xfId="0" applyFont="1" applyFill="1" applyBorder="1" applyAlignment="1">
      <alignment horizontal="left"/>
    </xf>
    <xf numFmtId="0" fontId="0" fillId="7" borderId="3" xfId="0" applyFill="1" applyBorder="1"/>
    <xf numFmtId="164" fontId="3" fillId="7" borderId="3" xfId="0" applyNumberFormat="1" applyFont="1" applyFill="1" applyBorder="1" applyAlignment="1">
      <alignment horizontal="center"/>
    </xf>
    <xf numFmtId="164" fontId="3" fillId="8" borderId="3" xfId="0" applyNumberFormat="1" applyFont="1" applyFill="1" applyBorder="1" applyAlignment="1">
      <alignment horizontal="center"/>
    </xf>
    <xf numFmtId="167" fontId="0" fillId="0" borderId="21" xfId="2" applyNumberFormat="1" applyFont="1" applyBorder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9" borderId="0" xfId="0" applyFont="1" applyFill="1" applyAlignment="1">
      <alignment horizontal="left"/>
    </xf>
    <xf numFmtId="0" fontId="12" fillId="9" borderId="0" xfId="0" applyFont="1" applyFill="1"/>
    <xf numFmtId="167" fontId="12" fillId="9" borderId="0" xfId="2" applyNumberFormat="1" applyFont="1" applyFill="1"/>
    <xf numFmtId="0" fontId="1" fillId="0" borderId="0" xfId="0" applyFont="1"/>
    <xf numFmtId="37" fontId="0" fillId="0" borderId="0" xfId="0" applyNumberFormat="1"/>
    <xf numFmtId="0" fontId="1" fillId="0" borderId="0" xfId="0" applyFont="1" applyAlignment="1">
      <alignment horizontal="left" indent="1"/>
    </xf>
    <xf numFmtId="0" fontId="1" fillId="0" borderId="21" xfId="0" applyFont="1" applyBorder="1" applyAlignment="1">
      <alignment horizontal="left"/>
    </xf>
    <xf numFmtId="0" fontId="17" fillId="0" borderId="0" xfId="0" applyFont="1"/>
    <xf numFmtId="164" fontId="1" fillId="0" borderId="21" xfId="0" applyNumberFormat="1" applyFont="1" applyBorder="1"/>
    <xf numFmtId="0" fontId="1" fillId="0" borderId="0" xfId="0" applyFont="1" applyAlignment="1">
      <alignment horizontal="left"/>
    </xf>
    <xf numFmtId="9" fontId="0" fillId="0" borderId="0" xfId="2" applyFont="1"/>
    <xf numFmtId="164" fontId="0" fillId="0" borderId="23" xfId="0" applyNumberFormat="1" applyBorder="1"/>
    <xf numFmtId="164" fontId="0" fillId="0" borderId="24" xfId="0" applyNumberFormat="1" applyBorder="1"/>
    <xf numFmtId="167" fontId="0" fillId="0" borderId="0" xfId="2" applyNumberFormat="1" applyFont="1" applyBorder="1"/>
    <xf numFmtId="0" fontId="17" fillId="0" borderId="0" xfId="0" applyFont="1" applyAlignment="1">
      <alignment horizontal="left"/>
    </xf>
    <xf numFmtId="169" fontId="0" fillId="0" borderId="0" xfId="1" applyNumberFormat="1" applyFont="1"/>
    <xf numFmtId="43" fontId="0" fillId="0" borderId="0" xfId="1" applyFont="1"/>
    <xf numFmtId="9" fontId="0" fillId="0" borderId="0" xfId="2" applyFont="1" applyBorder="1"/>
    <xf numFmtId="169" fontId="0" fillId="0" borderId="0" xfId="0" applyNumberFormat="1"/>
    <xf numFmtId="164" fontId="1" fillId="0" borderId="0" xfId="0" applyNumberFormat="1" applyFont="1"/>
    <xf numFmtId="0" fontId="3" fillId="0" borderId="26" xfId="0" applyFont="1" applyBorder="1"/>
    <xf numFmtId="0" fontId="3" fillId="0" borderId="27" xfId="0" applyFont="1" applyBorder="1" applyAlignment="1">
      <alignment horizontal="left"/>
    </xf>
    <xf numFmtId="167" fontId="3" fillId="0" borderId="21" xfId="2" applyNumberFormat="1" applyFont="1" applyBorder="1"/>
    <xf numFmtId="169" fontId="3" fillId="0" borderId="21" xfId="1" applyNumberFormat="1" applyFont="1" applyFill="1" applyBorder="1"/>
    <xf numFmtId="169" fontId="0" fillId="0" borderId="21" xfId="1" applyNumberFormat="1" applyFont="1" applyBorder="1"/>
    <xf numFmtId="169" fontId="1" fillId="0" borderId="21" xfId="1" applyNumberFormat="1" applyFont="1" applyBorder="1"/>
    <xf numFmtId="0" fontId="1" fillId="0" borderId="21" xfId="0" applyFont="1" applyBorder="1" applyAlignment="1">
      <alignment horizontal="right"/>
    </xf>
    <xf numFmtId="169" fontId="3" fillId="0" borderId="21" xfId="1" applyNumberFormat="1" applyFont="1" applyBorder="1"/>
    <xf numFmtId="164" fontId="3" fillId="0" borderId="31" xfId="0" applyNumberFormat="1" applyFont="1" applyBorder="1"/>
    <xf numFmtId="0" fontId="3" fillId="0" borderId="0" xfId="0" applyFont="1" applyAlignment="1">
      <alignment horizontal="right"/>
    </xf>
    <xf numFmtId="43" fontId="0" fillId="0" borderId="0" xfId="1" applyFont="1" applyFill="1"/>
    <xf numFmtId="167" fontId="3" fillId="0" borderId="0" xfId="2" applyNumberFormat="1" applyFont="1" applyBorder="1"/>
    <xf numFmtId="10" fontId="12" fillId="9" borderId="0" xfId="2" applyNumberFormat="1" applyFont="1" applyFill="1"/>
    <xf numFmtId="164" fontId="0" fillId="10" borderId="21" xfId="0" applyNumberFormat="1" applyFill="1" applyBorder="1"/>
    <xf numFmtId="164" fontId="0" fillId="11" borderId="21" xfId="0" applyNumberFormat="1" applyFill="1" applyBorder="1"/>
    <xf numFmtId="164" fontId="0" fillId="0" borderId="32" xfId="0" applyNumberFormat="1" applyBorder="1"/>
    <xf numFmtId="164" fontId="1" fillId="10" borderId="21" xfId="0" applyNumberFormat="1" applyFont="1" applyFill="1" applyBorder="1"/>
    <xf numFmtId="169" fontId="3" fillId="0" borderId="21" xfId="2" applyNumberFormat="1" applyFont="1" applyBorder="1"/>
    <xf numFmtId="169" fontId="3" fillId="0" borderId="21" xfId="0" applyNumberFormat="1" applyFont="1" applyBorder="1"/>
    <xf numFmtId="0" fontId="3" fillId="0" borderId="22" xfId="0" applyFont="1" applyBorder="1"/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2" fontId="0" fillId="0" borderId="0" xfId="0" applyNumberFormat="1"/>
    <xf numFmtId="168" fontId="0" fillId="0" borderId="0" xfId="0" applyNumberFormat="1"/>
    <xf numFmtId="9" fontId="3" fillId="0" borderId="0" xfId="0" applyNumberFormat="1" applyFont="1"/>
    <xf numFmtId="9" fontId="3" fillId="0" borderId="31" xfId="0" applyNumberFormat="1" applyFont="1" applyBorder="1"/>
    <xf numFmtId="164" fontId="1" fillId="11" borderId="21" xfId="0" applyNumberFormat="1" applyFont="1" applyFill="1" applyBorder="1"/>
    <xf numFmtId="9" fontId="1" fillId="0" borderId="0" xfId="2" applyFont="1" applyBorder="1"/>
    <xf numFmtId="0" fontId="0" fillId="0" borderId="33" xfId="0" applyBorder="1" applyAlignment="1">
      <alignment horizontal="left"/>
    </xf>
    <xf numFmtId="167" fontId="0" fillId="0" borderId="33" xfId="2" applyNumberFormat="1" applyFont="1" applyBorder="1"/>
    <xf numFmtId="164" fontId="0" fillId="0" borderId="33" xfId="0" applyNumberFormat="1" applyBorder="1"/>
    <xf numFmtId="169" fontId="1" fillId="0" borderId="21" xfId="2" applyNumberFormat="1" applyFont="1" applyBorder="1"/>
    <xf numFmtId="169" fontId="1" fillId="11" borderId="21" xfId="2" applyNumberFormat="1" applyFont="1" applyFill="1" applyBorder="1"/>
    <xf numFmtId="10" fontId="3" fillId="0" borderId="21" xfId="2" applyNumberFormat="1" applyFont="1" applyBorder="1"/>
    <xf numFmtId="164" fontId="0" fillId="0" borderId="21" xfId="2" applyNumberFormat="1" applyFont="1" applyBorder="1"/>
    <xf numFmtId="167" fontId="1" fillId="0" borderId="21" xfId="0" applyNumberFormat="1" applyFont="1" applyBorder="1"/>
    <xf numFmtId="10" fontId="3" fillId="0" borderId="0" xfId="2" applyNumberFormat="1" applyFont="1" applyBorder="1"/>
    <xf numFmtId="164" fontId="0" fillId="0" borderId="21" xfId="2" applyNumberFormat="1" applyFont="1" applyFill="1" applyBorder="1"/>
    <xf numFmtId="164" fontId="1" fillId="0" borderId="21" xfId="2" applyNumberFormat="1" applyFont="1" applyFill="1" applyBorder="1"/>
    <xf numFmtId="164" fontId="3" fillId="0" borderId="21" xfId="2" applyNumberFormat="1" applyFont="1" applyBorder="1"/>
    <xf numFmtId="10" fontId="3" fillId="0" borderId="22" xfId="2" applyNumberFormat="1" applyFont="1" applyBorder="1"/>
    <xf numFmtId="164" fontId="1" fillId="0" borderId="21" xfId="2" applyNumberFormat="1" applyFont="1" applyBorder="1"/>
    <xf numFmtId="167" fontId="1" fillId="0" borderId="0" xfId="2" applyNumberFormat="1" applyFont="1"/>
    <xf numFmtId="167" fontId="0" fillId="0" borderId="0" xfId="2" applyNumberFormat="1" applyFont="1"/>
    <xf numFmtId="168" fontId="0" fillId="0" borderId="0" xfId="3" applyNumberFormat="1" applyFont="1"/>
    <xf numFmtId="164" fontId="0" fillId="11" borderId="21" xfId="2" applyNumberFormat="1" applyFont="1" applyFill="1" applyBorder="1"/>
    <xf numFmtId="44" fontId="0" fillId="0" borderId="0" xfId="3" applyFont="1"/>
    <xf numFmtId="168" fontId="0" fillId="0" borderId="0" xfId="3" applyNumberFormat="1" applyFont="1" applyFill="1" applyBorder="1"/>
    <xf numFmtId="0" fontId="0" fillId="0" borderId="34" xfId="0" applyBorder="1" applyAlignment="1">
      <alignment horizontal="left"/>
    </xf>
    <xf numFmtId="0" fontId="3" fillId="0" borderId="34" xfId="0" applyFont="1" applyBorder="1"/>
    <xf numFmtId="0" fontId="3" fillId="0" borderId="33" xfId="0" applyFont="1" applyBorder="1" applyAlignment="1">
      <alignment horizontal="left"/>
    </xf>
    <xf numFmtId="164" fontId="1" fillId="0" borderId="33" xfId="0" applyNumberFormat="1" applyFont="1" applyBorder="1"/>
    <xf numFmtId="164" fontId="1" fillId="10" borderId="33" xfId="0" applyNumberFormat="1" applyFont="1" applyFill="1" applyBorder="1"/>
    <xf numFmtId="0" fontId="3" fillId="0" borderId="35" xfId="0" applyFont="1" applyBorder="1" applyAlignment="1">
      <alignment horizontal="left"/>
    </xf>
    <xf numFmtId="0" fontId="0" fillId="0" borderId="36" xfId="0" applyBorder="1"/>
    <xf numFmtId="0" fontId="3" fillId="0" borderId="36" xfId="0" applyFont="1" applyBorder="1"/>
    <xf numFmtId="0" fontId="3" fillId="0" borderId="26" xfId="0" applyFont="1" applyBorder="1" applyAlignment="1">
      <alignment horizontal="left"/>
    </xf>
    <xf numFmtId="164" fontId="3" fillId="7" borderId="35" xfId="0" applyNumberFormat="1" applyFont="1" applyFill="1" applyBorder="1" applyAlignment="1">
      <alignment horizontal="center"/>
    </xf>
    <xf numFmtId="164" fontId="3" fillId="8" borderId="0" xfId="0" applyNumberFormat="1" applyFont="1" applyFill="1" applyAlignment="1">
      <alignment horizontal="center"/>
    </xf>
    <xf numFmtId="168" fontId="0" fillId="0" borderId="36" xfId="3" applyNumberFormat="1" applyFont="1" applyFill="1" applyBorder="1"/>
    <xf numFmtId="164" fontId="3" fillId="7" borderId="36" xfId="0" applyNumberFormat="1" applyFont="1" applyFill="1" applyBorder="1" applyAlignment="1">
      <alignment horizontal="center"/>
    </xf>
    <xf numFmtId="164" fontId="3" fillId="8" borderId="36" xfId="0" applyNumberFormat="1" applyFont="1" applyFill="1" applyBorder="1" applyAlignment="1">
      <alignment horizontal="center"/>
    </xf>
    <xf numFmtId="164" fontId="3" fillId="7" borderId="39" xfId="0" applyNumberFormat="1" applyFont="1" applyFill="1" applyBorder="1" applyAlignment="1">
      <alignment horizontal="center"/>
    </xf>
    <xf numFmtId="0" fontId="0" fillId="0" borderId="3" xfId="0" applyBorder="1"/>
    <xf numFmtId="164" fontId="0" fillId="0" borderId="12" xfId="0" applyNumberFormat="1" applyBorder="1"/>
    <xf numFmtId="164" fontId="0" fillId="0" borderId="3" xfId="0" applyNumberFormat="1" applyBorder="1"/>
    <xf numFmtId="0" fontId="3" fillId="0" borderId="35" xfId="0" applyFont="1" applyBorder="1"/>
    <xf numFmtId="164" fontId="3" fillId="0" borderId="36" xfId="0" applyNumberFormat="1" applyFont="1" applyBorder="1"/>
    <xf numFmtId="44" fontId="0" fillId="0" borderId="0" xfId="0" applyNumberFormat="1"/>
    <xf numFmtId="44" fontId="1" fillId="0" borderId="0" xfId="3" applyFont="1"/>
    <xf numFmtId="43" fontId="1" fillId="0" borderId="0" xfId="1" applyFont="1"/>
    <xf numFmtId="43" fontId="0" fillId="0" borderId="0" xfId="0" applyNumberFormat="1"/>
    <xf numFmtId="164" fontId="1" fillId="11" borderId="33" xfId="0" applyNumberFormat="1" applyFont="1" applyFill="1" applyBorder="1"/>
    <xf numFmtId="0" fontId="0" fillId="12" borderId="21" xfId="0" applyFill="1" applyBorder="1" applyAlignment="1">
      <alignment horizontal="left"/>
    </xf>
    <xf numFmtId="0" fontId="0" fillId="12" borderId="21" xfId="0" applyFill="1" applyBorder="1"/>
    <xf numFmtId="164" fontId="0" fillId="12" borderId="21" xfId="0" applyNumberFormat="1" applyFill="1" applyBorder="1"/>
    <xf numFmtId="167" fontId="0" fillId="0" borderId="21" xfId="2" applyNumberFormat="1" applyFont="1" applyFill="1" applyBorder="1"/>
    <xf numFmtId="0" fontId="3" fillId="0" borderId="38" xfId="0" applyFont="1" applyBorder="1" applyAlignment="1">
      <alignment horizontal="left"/>
    </xf>
    <xf numFmtId="0" fontId="3" fillId="0" borderId="29" xfId="0" applyFont="1" applyBorder="1"/>
    <xf numFmtId="9" fontId="0" fillId="0" borderId="21" xfId="2" applyFont="1" applyBorder="1"/>
    <xf numFmtId="0" fontId="0" fillId="12" borderId="0" xfId="0" applyFill="1" applyAlignment="1">
      <alignment horizontal="left"/>
    </xf>
    <xf numFmtId="0" fontId="0" fillId="12" borderId="0" xfId="0" applyFill="1"/>
    <xf numFmtId="164" fontId="3" fillId="12" borderId="0" xfId="0" applyNumberFormat="1" applyFont="1" applyFill="1"/>
    <xf numFmtId="0" fontId="3" fillId="12" borderId="0" xfId="0" applyFont="1" applyFill="1"/>
    <xf numFmtId="164" fontId="3" fillId="12" borderId="30" xfId="0" applyNumberFormat="1" applyFont="1" applyFill="1" applyBorder="1"/>
    <xf numFmtId="169" fontId="0" fillId="0" borderId="0" xfId="1" applyNumberFormat="1" applyFont="1" applyFill="1"/>
    <xf numFmtId="164" fontId="3" fillId="0" borderId="39" xfId="0" applyNumberFormat="1" applyFont="1" applyBorder="1"/>
    <xf numFmtId="9" fontId="0" fillId="0" borderId="0" xfId="2" applyFont="1" applyFill="1"/>
    <xf numFmtId="9" fontId="0" fillId="0" borderId="0" xfId="2" applyFont="1" applyFill="1" applyBorder="1"/>
    <xf numFmtId="9" fontId="1" fillId="0" borderId="0" xfId="2" applyFont="1" applyFill="1" applyBorder="1"/>
    <xf numFmtId="0" fontId="0" fillId="0" borderId="23" xfId="0" applyBorder="1"/>
    <xf numFmtId="10" fontId="12" fillId="13" borderId="0" xfId="2" applyNumberFormat="1" applyFont="1" applyFill="1"/>
    <xf numFmtId="14" fontId="0" fillId="0" borderId="0" xfId="0" applyNumberFormat="1" applyAlignment="1">
      <alignment horizontal="left"/>
    </xf>
    <xf numFmtId="44" fontId="0" fillId="0" borderId="0" xfId="3" applyFont="1" applyFill="1"/>
    <xf numFmtId="0" fontId="3" fillId="0" borderId="25" xfId="0" applyFont="1" applyBorder="1" applyAlignment="1">
      <alignment horizontal="left"/>
    </xf>
    <xf numFmtId="164" fontId="3" fillId="0" borderId="26" xfId="0" applyNumberFormat="1" applyFont="1" applyBorder="1"/>
    <xf numFmtId="164" fontId="3" fillId="0" borderId="3" xfId="0" applyNumberFormat="1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164" fontId="0" fillId="0" borderId="22" xfId="0" applyNumberFormat="1" applyBorder="1"/>
    <xf numFmtId="169" fontId="3" fillId="0" borderId="31" xfId="1" applyNumberFormat="1" applyFont="1" applyFill="1" applyBorder="1"/>
    <xf numFmtId="0" fontId="0" fillId="0" borderId="24" xfId="0" applyBorder="1"/>
    <xf numFmtId="168" fontId="0" fillId="0" borderId="31" xfId="3" applyNumberFormat="1" applyFont="1" applyFill="1" applyBorder="1"/>
    <xf numFmtId="168" fontId="0" fillId="0" borderId="39" xfId="3" applyNumberFormat="1" applyFont="1" applyFill="1" applyBorder="1"/>
    <xf numFmtId="44" fontId="0" fillId="0" borderId="35" xfId="0" applyNumberFormat="1" applyBorder="1"/>
    <xf numFmtId="44" fontId="0" fillId="0" borderId="40" xfId="0" applyNumberFormat="1" applyBorder="1"/>
    <xf numFmtId="44" fontId="0" fillId="0" borderId="31" xfId="0" applyNumberFormat="1" applyBorder="1"/>
    <xf numFmtId="44" fontId="3" fillId="0" borderId="31" xfId="0" applyNumberFormat="1" applyFont="1" applyBorder="1"/>
    <xf numFmtId="44" fontId="1" fillId="0" borderId="31" xfId="0" applyNumberFormat="1" applyFont="1" applyBorder="1"/>
    <xf numFmtId="44" fontId="1" fillId="0" borderId="39" xfId="0" applyNumberFormat="1" applyFont="1" applyBorder="1"/>
    <xf numFmtId="164" fontId="1" fillId="0" borderId="42" xfId="0" applyNumberFormat="1" applyFont="1" applyBorder="1"/>
    <xf numFmtId="168" fontId="1" fillId="0" borderId="31" xfId="3" applyNumberFormat="1" applyFont="1" applyFill="1" applyBorder="1"/>
    <xf numFmtId="168" fontId="1" fillId="0" borderId="31" xfId="0" applyNumberFormat="1" applyFont="1" applyBorder="1"/>
    <xf numFmtId="168" fontId="0" fillId="0" borderId="35" xfId="3" applyNumberFormat="1" applyFont="1" applyBorder="1"/>
    <xf numFmtId="168" fontId="0" fillId="0" borderId="31" xfId="3" applyNumberFormat="1" applyFont="1" applyBorder="1"/>
    <xf numFmtId="168" fontId="1" fillId="0" borderId="39" xfId="3" applyNumberFormat="1" applyFont="1" applyBorder="1"/>
    <xf numFmtId="168" fontId="1" fillId="0" borderId="31" xfId="3" applyNumberFormat="1" applyFont="1" applyBorder="1"/>
    <xf numFmtId="168" fontId="1" fillId="0" borderId="37" xfId="3" applyNumberFormat="1" applyFont="1" applyBorder="1"/>
    <xf numFmtId="167" fontId="1" fillId="0" borderId="31" xfId="2" applyNumberFormat="1" applyFont="1" applyFill="1" applyBorder="1"/>
    <xf numFmtId="9" fontId="1" fillId="0" borderId="31" xfId="2" applyFont="1" applyFill="1" applyBorder="1"/>
    <xf numFmtId="9" fontId="1" fillId="0" borderId="44" xfId="2" applyFont="1" applyFill="1" applyBorder="1"/>
    <xf numFmtId="168" fontId="1" fillId="0" borderId="43" xfId="3" applyNumberFormat="1" applyFont="1" applyBorder="1"/>
    <xf numFmtId="167" fontId="1" fillId="0" borderId="44" xfId="2" applyNumberFormat="1" applyFont="1" applyFill="1" applyBorder="1"/>
    <xf numFmtId="164" fontId="3" fillId="0" borderId="45" xfId="0" applyNumberFormat="1" applyFont="1" applyBorder="1"/>
    <xf numFmtId="0" fontId="3" fillId="0" borderId="0" xfId="0" applyFont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8">
    <dxf>
      <fill>
        <patternFill>
          <bgColor indexed="26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26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26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Revenue Collections by Month thru December 2011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 - Baseline'!$A$94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Baseline'!$C$94:$N$94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DB2-423B-9F5E-4FF5DB8E7B56}"/>
            </c:ext>
          </c:extLst>
        </c:ser>
        <c:ser>
          <c:idx val="1"/>
          <c:order val="1"/>
          <c:tx>
            <c:strRef>
              <c:f>'TOT - Baseline'!$A$95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Baseline'!$C$95:$N$95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DB2-423B-9F5E-4FF5DB8E7B56}"/>
            </c:ext>
          </c:extLst>
        </c:ser>
        <c:ser>
          <c:idx val="2"/>
          <c:order val="2"/>
          <c:tx>
            <c:strRef>
              <c:f>'TOT - Baseline'!$A$96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Baseline'!$C$96:$N$96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DB2-423B-9F5E-4FF5DB8E7B56}"/>
            </c:ext>
          </c:extLst>
        </c:ser>
        <c:ser>
          <c:idx val="3"/>
          <c:order val="3"/>
          <c:tx>
            <c:strRef>
              <c:f>'TOT - Baseline'!$A$97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Baseline'!$C$97:$N$97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DB2-423B-9F5E-4FF5DB8E7B56}"/>
            </c:ext>
          </c:extLst>
        </c:ser>
        <c:ser>
          <c:idx val="4"/>
          <c:order val="4"/>
          <c:tx>
            <c:strRef>
              <c:f>'TOT - Baseline'!$A$98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Baseline'!$C$98:$N$98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DB2-423B-9F5E-4FF5DB8E7B56}"/>
            </c:ext>
          </c:extLst>
        </c:ser>
        <c:ser>
          <c:idx val="5"/>
          <c:order val="5"/>
          <c:tx>
            <c:strRef>
              <c:f>'TOT - Baseline'!$A$99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Baseline'!$C$99:$N$99</c:f>
            </c:numRef>
          </c:val>
          <c:extLst>
            <c:ext xmlns:c16="http://schemas.microsoft.com/office/drawing/2014/chart" uri="{C3380CC4-5D6E-409C-BE32-E72D297353CC}">
              <c16:uniqueId val="{00000005-1DB2-423B-9F5E-4FF5DB8E7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160784"/>
        <c:axId val="1"/>
      </c:barChart>
      <c:catAx>
        <c:axId val="117416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TOT Revenue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4160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YrOYr Changes in Cumulative Collections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TOT!#REF!</c:v>
          </c:tx>
          <c:val>
            <c:numRef>
              <c:f>TOT!#REF!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B2-47A8-BE2C-2DB4162D9A5F}"/>
            </c:ext>
          </c:extLst>
        </c:ser>
        <c:ser>
          <c:idx val="1"/>
          <c:order val="1"/>
          <c:tx>
            <c:v>TOT!#REF!</c:v>
          </c:tx>
          <c:val>
            <c:numRef>
              <c:f>TOT!#REF!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6B2-47A8-BE2C-2DB4162D9A5F}"/>
            </c:ext>
          </c:extLst>
        </c:ser>
        <c:ser>
          <c:idx val="2"/>
          <c:order val="2"/>
          <c:tx>
            <c:v>TOT!#REF!</c:v>
          </c:tx>
          <c:val>
            <c:numRef>
              <c:f>TOT!#REF!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6B2-47A8-BE2C-2DB4162D9A5F}"/>
            </c:ext>
          </c:extLst>
        </c:ser>
        <c:ser>
          <c:idx val="3"/>
          <c:order val="3"/>
          <c:tx>
            <c:v>TOT!#REF!</c:v>
          </c:tx>
          <c:val>
            <c:numRef>
              <c:f>TOT!#REF!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6B2-47A8-BE2C-2DB4162D9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540944"/>
        <c:axId val="1"/>
      </c:lineChart>
      <c:catAx>
        <c:axId val="5995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Changes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540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Revenue Collections by Month thru December 2011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 - Baseline'!$A$94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Baseline'!$C$94:$N$94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8D-4199-A4D2-EEA5AB6F0037}"/>
            </c:ext>
          </c:extLst>
        </c:ser>
        <c:ser>
          <c:idx val="1"/>
          <c:order val="1"/>
          <c:tx>
            <c:strRef>
              <c:f>'TOT - Baseline'!$A$95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Baseline'!$C$95:$N$95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8D-4199-A4D2-EEA5AB6F0037}"/>
            </c:ext>
          </c:extLst>
        </c:ser>
        <c:ser>
          <c:idx val="2"/>
          <c:order val="2"/>
          <c:tx>
            <c:strRef>
              <c:f>'TOT - Baseline'!$A$96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Baseline'!$C$96:$N$96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08D-4199-A4D2-EEA5AB6F0037}"/>
            </c:ext>
          </c:extLst>
        </c:ser>
        <c:ser>
          <c:idx val="3"/>
          <c:order val="3"/>
          <c:tx>
            <c:strRef>
              <c:f>'TOT - Baseline'!$A$97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Baseline'!$C$97:$N$97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08D-4199-A4D2-EEA5AB6F0037}"/>
            </c:ext>
          </c:extLst>
        </c:ser>
        <c:ser>
          <c:idx val="4"/>
          <c:order val="4"/>
          <c:tx>
            <c:strRef>
              <c:f>'TOT - Baseline'!$A$98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Baseline'!$C$98:$N$98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 - Baseline'!$C$74:$N$74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08D-4199-A4D2-EEA5AB6F0037}"/>
            </c:ext>
          </c:extLst>
        </c:ser>
        <c:ser>
          <c:idx val="5"/>
          <c:order val="5"/>
          <c:tx>
            <c:strRef>
              <c:f>'TOT - Baseline'!$A$99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'TOT - Baseline'!$C$99:$N$99</c:f>
            </c:numRef>
          </c:val>
          <c:extLst>
            <c:ext xmlns:c16="http://schemas.microsoft.com/office/drawing/2014/chart" uri="{C3380CC4-5D6E-409C-BE32-E72D297353CC}">
              <c16:uniqueId val="{00000005-808D-4199-A4D2-EEA5AB6F0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160784"/>
        <c:axId val="1"/>
      </c:barChart>
      <c:catAx>
        <c:axId val="117416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TOT Revenue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4160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YrOYr Changes in Cumulative Collections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TOT!#REF!</c:v>
          </c:tx>
          <c:val>
            <c:numRef>
              <c:f>TOT!#REF!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376-448B-884F-74A985FB99B2}"/>
            </c:ext>
          </c:extLst>
        </c:ser>
        <c:ser>
          <c:idx val="1"/>
          <c:order val="1"/>
          <c:tx>
            <c:v>TOT!#REF!</c:v>
          </c:tx>
          <c:val>
            <c:numRef>
              <c:f>TOT!#REF!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376-448B-884F-74A985FB99B2}"/>
            </c:ext>
          </c:extLst>
        </c:ser>
        <c:ser>
          <c:idx val="2"/>
          <c:order val="2"/>
          <c:tx>
            <c:v>TOT!#REF!</c:v>
          </c:tx>
          <c:val>
            <c:numRef>
              <c:f>TOT!#REF!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376-448B-884F-74A985FB99B2}"/>
            </c:ext>
          </c:extLst>
        </c:ser>
        <c:ser>
          <c:idx val="3"/>
          <c:order val="3"/>
          <c:tx>
            <c:v>TOT!#REF!</c:v>
          </c:tx>
          <c:val>
            <c:numRef>
              <c:f>TOT!#REF!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376-448B-884F-74A985FB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540944"/>
        <c:axId val="1"/>
      </c:lineChart>
      <c:catAx>
        <c:axId val="5995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Changes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540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Revenue Collections by Month thru December 2011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1826143.45</c:v>
              </c:pt>
              <c:pt idx="1">
                <c:v>1658132.64</c:v>
              </c:pt>
              <c:pt idx="2">
                <c:v>1453623.67</c:v>
              </c:pt>
              <c:pt idx="3">
                <c:v>1276119.56</c:v>
              </c:pt>
              <c:pt idx="4">
                <c:v>341666.52</c:v>
              </c:pt>
              <c:pt idx="5">
                <c:v>350521.86</c:v>
              </c:pt>
              <c:pt idx="6">
                <c:v>633260.72</c:v>
              </c:pt>
              <c:pt idx="7">
                <c:v>718340.28</c:v>
              </c:pt>
              <c:pt idx="8">
                <c:v>404528.27</c:v>
              </c:pt>
              <c:pt idx="9">
                <c:v>240540.81</c:v>
              </c:pt>
              <c:pt idx="10">
                <c:v>275920.8</c:v>
              </c:pt>
              <c:pt idx="11">
                <c:v>1455122.28</c:v>
              </c:pt>
            </c:numLit>
          </c:val>
          <c:extLst>
            <c:ext xmlns:c16="http://schemas.microsoft.com/office/drawing/2014/chart" uri="{C3380CC4-5D6E-409C-BE32-E72D297353CC}">
              <c16:uniqueId val="{00000000-130C-44BD-A56C-DA7345DAADE8}"/>
            </c:ext>
          </c:extLst>
        </c:ser>
        <c:ser>
          <c:idx val="1"/>
          <c:order val="1"/>
          <c:tx>
            <c:v>2007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1694967.43</c:v>
              </c:pt>
              <c:pt idx="1">
                <c:v>1583253.15</c:v>
              </c:pt>
              <c:pt idx="2">
                <c:v>1249350.3500000001</c:v>
              </c:pt>
              <c:pt idx="3">
                <c:v>765323.31</c:v>
              </c:pt>
              <c:pt idx="4">
                <c:v>241871.46</c:v>
              </c:pt>
              <c:pt idx="5">
                <c:v>363885.65</c:v>
              </c:pt>
              <c:pt idx="6">
                <c:v>690020.49</c:v>
              </c:pt>
              <c:pt idx="7">
                <c:v>850957.86</c:v>
              </c:pt>
              <c:pt idx="8">
                <c:v>382540.55</c:v>
              </c:pt>
              <c:pt idx="9">
                <c:v>191090.25</c:v>
              </c:pt>
              <c:pt idx="10">
                <c:v>202901.75</c:v>
              </c:pt>
              <c:pt idx="11">
                <c:v>1533029.98</c:v>
              </c:pt>
            </c:numLit>
          </c:val>
          <c:extLst>
            <c:ext xmlns:c16="http://schemas.microsoft.com/office/drawing/2014/chart" uri="{C3380CC4-5D6E-409C-BE32-E72D297353CC}">
              <c16:uniqueId val="{00000001-130C-44BD-A56C-DA7345DAADE8}"/>
            </c:ext>
          </c:extLst>
        </c:ser>
        <c:ser>
          <c:idx val="2"/>
          <c:order val="2"/>
          <c:tx>
            <c:v>2008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1926938.65</c:v>
              </c:pt>
              <c:pt idx="1">
                <c:v>1890815.42</c:v>
              </c:pt>
              <c:pt idx="2">
                <c:v>1732074.91</c:v>
              </c:pt>
              <c:pt idx="3">
                <c:v>612594.14</c:v>
              </c:pt>
              <c:pt idx="4">
                <c:v>245108.26</c:v>
              </c:pt>
              <c:pt idx="5">
                <c:v>410409.49</c:v>
              </c:pt>
              <c:pt idx="6">
                <c:v>726330.75</c:v>
              </c:pt>
              <c:pt idx="7">
                <c:v>973546.78</c:v>
              </c:pt>
              <c:pt idx="8">
                <c:v>379749.07</c:v>
              </c:pt>
              <c:pt idx="9">
                <c:v>232426.88</c:v>
              </c:pt>
              <c:pt idx="10">
                <c:v>247159.02</c:v>
              </c:pt>
              <c:pt idx="11">
                <c:v>1591895.82</c:v>
              </c:pt>
            </c:numLit>
          </c:val>
          <c:extLst>
            <c:ext xmlns:c16="http://schemas.microsoft.com/office/drawing/2014/chart" uri="{C3380CC4-5D6E-409C-BE32-E72D297353CC}">
              <c16:uniqueId val="{00000002-130C-44BD-A56C-DA7345DAADE8}"/>
            </c:ext>
          </c:extLst>
        </c:ser>
        <c:ser>
          <c:idx val="3"/>
          <c:order val="3"/>
          <c:tx>
            <c:v>2009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1561522.76</c:v>
              </c:pt>
              <c:pt idx="1">
                <c:v>1477336.19</c:v>
              </c:pt>
              <c:pt idx="2">
                <c:v>1028557.53</c:v>
              </c:pt>
              <c:pt idx="3">
                <c:v>774077.97</c:v>
              </c:pt>
              <c:pt idx="4">
                <c:v>299319.63</c:v>
              </c:pt>
              <c:pt idx="5">
                <c:v>369381.79</c:v>
              </c:pt>
              <c:pt idx="6">
                <c:v>745573.43</c:v>
              </c:pt>
              <c:pt idx="7">
                <c:v>866031.41</c:v>
              </c:pt>
              <c:pt idx="8">
                <c:v>421338.13</c:v>
              </c:pt>
              <c:pt idx="9">
                <c:v>210612.61</c:v>
              </c:pt>
              <c:pt idx="10">
                <c:v>208008.12</c:v>
              </c:pt>
              <c:pt idx="11">
                <c:v>1739523.1</c:v>
              </c:pt>
            </c:numLit>
          </c:val>
          <c:extLst>
            <c:ext xmlns:c16="http://schemas.microsoft.com/office/drawing/2014/chart" uri="{C3380CC4-5D6E-409C-BE32-E72D297353CC}">
              <c16:uniqueId val="{00000003-130C-44BD-A56C-DA7345DAADE8}"/>
            </c:ext>
          </c:extLst>
        </c:ser>
        <c:ser>
          <c:idx val="4"/>
          <c:order val="4"/>
          <c:tx>
            <c:v>2010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1680971.53</c:v>
              </c:pt>
              <c:pt idx="1">
                <c:v>1687681.97</c:v>
              </c:pt>
              <c:pt idx="2">
                <c:v>1263119.3999999999</c:v>
              </c:pt>
              <c:pt idx="3">
                <c:v>971474.32</c:v>
              </c:pt>
              <c:pt idx="4">
                <c:v>303678.87</c:v>
              </c:pt>
              <c:pt idx="5">
                <c:v>383274.03</c:v>
              </c:pt>
              <c:pt idx="6">
                <c:v>833809.03</c:v>
              </c:pt>
              <c:pt idx="7">
                <c:v>934572.21</c:v>
              </c:pt>
              <c:pt idx="8">
                <c:v>471611.94</c:v>
              </c:pt>
              <c:pt idx="9">
                <c:v>229609.13</c:v>
              </c:pt>
              <c:pt idx="10">
                <c:v>302313.64</c:v>
              </c:pt>
              <c:pt idx="11">
                <c:v>1948907.85</c:v>
              </c:pt>
            </c:numLit>
          </c:val>
          <c:extLst>
            <c:ext xmlns:c16="http://schemas.microsoft.com/office/drawing/2014/chart" uri="{C3380CC4-5D6E-409C-BE32-E72D297353CC}">
              <c16:uniqueId val="{00000004-130C-44BD-A56C-DA7345DAADE8}"/>
            </c:ext>
          </c:extLst>
        </c:ser>
        <c:ser>
          <c:idx val="5"/>
          <c:order val="5"/>
          <c:tx>
            <c:v>2011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2"/>
              <c:pt idx="0">
                <c:v>1685441.88</c:v>
              </c:pt>
              <c:pt idx="1">
                <c:v>1672979.16</c:v>
              </c:pt>
              <c:pt idx="2">
                <c:v>1338510.8799999999</c:v>
              </c:pt>
              <c:pt idx="3">
                <c:v>985216.2</c:v>
              </c:pt>
              <c:pt idx="4">
                <c:v>356001.11</c:v>
              </c:pt>
              <c:pt idx="5">
                <c:v>450743.67</c:v>
              </c:pt>
              <c:pt idx="6">
                <c:v>947128.92</c:v>
              </c:pt>
              <c:pt idx="7">
                <c:v>1061916.97</c:v>
              </c:pt>
              <c:pt idx="8">
                <c:v>565779.42000000004</c:v>
              </c:pt>
              <c:pt idx="9">
                <c:v>278211.78000000003</c:v>
              </c:pt>
              <c:pt idx="10">
                <c:v>315260.75</c:v>
              </c:pt>
              <c:pt idx="11">
                <c:v>1667285.49</c:v>
              </c:pt>
            </c:numLit>
          </c:val>
          <c:extLst>
            <c:ext xmlns:c16="http://schemas.microsoft.com/office/drawing/2014/chart" uri="{C3380CC4-5D6E-409C-BE32-E72D297353CC}">
              <c16:uniqueId val="{00000005-130C-44BD-A56C-DA7345DAA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694336"/>
        <c:axId val="1"/>
      </c:barChart>
      <c:catAx>
        <c:axId val="11836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TOT Revenue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3694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YrOYr Changes in Cumulative Collections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BC-45EF-ADFA-A5CB0DB045A3}"/>
            </c:ext>
          </c:extLst>
        </c:ser>
        <c:ser>
          <c:idx val="1"/>
          <c:order val="1"/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BC-45EF-ADFA-A5CB0DB045A3}"/>
            </c:ext>
          </c:extLst>
        </c:ser>
        <c:ser>
          <c:idx val="2"/>
          <c:order val="2"/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BC-45EF-ADFA-A5CB0DB045A3}"/>
            </c:ext>
          </c:extLst>
        </c:ser>
        <c:ser>
          <c:idx val="3"/>
          <c:order val="3"/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BC-45EF-ADFA-A5CB0DB04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557544"/>
        <c:axId val="1"/>
      </c:lineChart>
      <c:catAx>
        <c:axId val="984557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Changes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557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15</xdr:col>
      <xdr:colOff>0</xdr:colOff>
      <xdr:row>38</xdr:row>
      <xdr:rowOff>133350</xdr:rowOff>
    </xdr:to>
    <xdr:graphicFrame macro="">
      <xdr:nvGraphicFramePr>
        <xdr:cNvPr id="4588878" name="Chart 1">
          <a:extLst>
            <a:ext uri="{FF2B5EF4-FFF2-40B4-BE49-F238E27FC236}">
              <a16:creationId xmlns:a16="http://schemas.microsoft.com/office/drawing/2014/main" id="{00000000-0008-0000-0000-00004E05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133350</xdr:rowOff>
    </xdr:from>
    <xdr:to>
      <xdr:col>15</xdr:col>
      <xdr:colOff>0</xdr:colOff>
      <xdr:row>59</xdr:row>
      <xdr:rowOff>95250</xdr:rowOff>
    </xdr:to>
    <xdr:graphicFrame macro="">
      <xdr:nvGraphicFramePr>
        <xdr:cNvPr id="4588879" name="Chart 4">
          <a:extLst>
            <a:ext uri="{FF2B5EF4-FFF2-40B4-BE49-F238E27FC236}">
              <a16:creationId xmlns:a16="http://schemas.microsoft.com/office/drawing/2014/main" id="{00000000-0008-0000-0000-00004F05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558165</xdr:colOff>
      <xdr:row>0</xdr:row>
      <xdr:rowOff>0</xdr:rowOff>
    </xdr:from>
    <xdr:to>
      <xdr:col>13</xdr:col>
      <xdr:colOff>727712</xdr:colOff>
      <xdr:row>0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752850" y="0"/>
          <a:ext cx="796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Addresses the question, "How far ahead/behind are we from the prior year, so far this calendar year?"  See Table 5.</a:t>
          </a:r>
          <a:endParaRPr lang="en-US"/>
        </a:p>
      </xdr:txBody>
    </xdr:sp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85725</xdr:colOff>
      <xdr:row>102</xdr:row>
      <xdr:rowOff>190500</xdr:rowOff>
    </xdr:to>
    <xdr:sp macro="" textlink="">
      <xdr:nvSpPr>
        <xdr:cNvPr id="4588881" name="Text Box 7">
          <a:extLst>
            <a:ext uri="{FF2B5EF4-FFF2-40B4-BE49-F238E27FC236}">
              <a16:creationId xmlns:a16="http://schemas.microsoft.com/office/drawing/2014/main" id="{00000000-0008-0000-0000-000051054600}"/>
            </a:ext>
          </a:extLst>
        </xdr:cNvPr>
        <xdr:cNvSpPr txBox="1">
          <a:spLocks noChangeArrowheads="1"/>
        </xdr:cNvSpPr>
      </xdr:nvSpPr>
      <xdr:spPr bwMode="auto">
        <a:xfrm>
          <a:off x="78390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15</xdr:col>
      <xdr:colOff>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CEB05A-6587-4BD6-9269-0C978ADAF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133350</xdr:rowOff>
    </xdr:from>
    <xdr:to>
      <xdr:col>15</xdr:col>
      <xdr:colOff>0</xdr:colOff>
      <xdr:row>59</xdr:row>
      <xdr:rowOff>95250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7DAA676-0544-4A54-B12A-35C7C4DD3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558165</xdr:colOff>
      <xdr:row>0</xdr:row>
      <xdr:rowOff>0</xdr:rowOff>
    </xdr:from>
    <xdr:to>
      <xdr:col>13</xdr:col>
      <xdr:colOff>727712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1C06BD1B-B055-49E9-A097-A5C86E92CC72}"/>
            </a:ext>
          </a:extLst>
        </xdr:cNvPr>
        <xdr:cNvSpPr txBox="1">
          <a:spLocks noChangeArrowheads="1"/>
        </xdr:cNvSpPr>
      </xdr:nvSpPr>
      <xdr:spPr bwMode="auto">
        <a:xfrm>
          <a:off x="4415790" y="0"/>
          <a:ext cx="950404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Addresses the question, "How far ahead/behind are we from the prior year, so far this calendar year?"  See Table 5.</a:t>
          </a:r>
          <a:endParaRPr lang="en-US"/>
        </a:p>
      </xdr:txBody>
    </xdr:sp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85725</xdr:colOff>
      <xdr:row>102</xdr:row>
      <xdr:rowOff>190500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F21C4B6C-4BD4-4DFA-8235-D813D5A05D1C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15</xdr:col>
      <xdr:colOff>0</xdr:colOff>
      <xdr:row>38</xdr:row>
      <xdr:rowOff>133350</xdr:rowOff>
    </xdr:to>
    <xdr:graphicFrame macro="">
      <xdr:nvGraphicFramePr>
        <xdr:cNvPr id="4121368" name="Chart 1">
          <a:extLst>
            <a:ext uri="{FF2B5EF4-FFF2-40B4-BE49-F238E27FC236}">
              <a16:creationId xmlns:a16="http://schemas.microsoft.com/office/drawing/2014/main" id="{00000000-0008-0000-0100-000018E3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133350</xdr:rowOff>
    </xdr:from>
    <xdr:to>
      <xdr:col>15</xdr:col>
      <xdr:colOff>0</xdr:colOff>
      <xdr:row>59</xdr:row>
      <xdr:rowOff>95250</xdr:rowOff>
    </xdr:to>
    <xdr:graphicFrame macro="">
      <xdr:nvGraphicFramePr>
        <xdr:cNvPr id="4121369" name="Chart 4">
          <a:extLst>
            <a:ext uri="{FF2B5EF4-FFF2-40B4-BE49-F238E27FC236}">
              <a16:creationId xmlns:a16="http://schemas.microsoft.com/office/drawing/2014/main" id="{00000000-0008-0000-0100-000019E3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558165</xdr:colOff>
      <xdr:row>0</xdr:row>
      <xdr:rowOff>0</xdr:rowOff>
    </xdr:from>
    <xdr:to>
      <xdr:col>13</xdr:col>
      <xdr:colOff>727712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58590" y="0"/>
          <a:ext cx="882777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Addresses the question, "How far ahead/behind are we from the prior year, so far this calendar year?"  See Table 5.</a:t>
          </a:r>
          <a:endParaRPr lang="en-US"/>
        </a:p>
      </xdr:txBody>
    </xdr:sp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85725</xdr:colOff>
      <xdr:row>103</xdr:row>
      <xdr:rowOff>28575</xdr:rowOff>
    </xdr:to>
    <xdr:sp macro="" textlink="">
      <xdr:nvSpPr>
        <xdr:cNvPr id="4121371" name="Text Box 7">
          <a:extLst>
            <a:ext uri="{FF2B5EF4-FFF2-40B4-BE49-F238E27FC236}">
              <a16:creationId xmlns:a16="http://schemas.microsoft.com/office/drawing/2014/main" id="{00000000-0008-0000-0100-00001BE33E00}"/>
            </a:ext>
          </a:extLst>
        </xdr:cNvPr>
        <xdr:cNvSpPr txBox="1">
          <a:spLocks noChangeArrowheads="1"/>
        </xdr:cNvSpPr>
      </xdr:nvSpPr>
      <xdr:spPr bwMode="auto">
        <a:xfrm>
          <a:off x="78390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holler\AppData\Local\Microsoft\Windows\Temporary%20Internet%20Files\Content.Outlook\SZJR1TLI\TOT%20and%20TBID%20projections%2014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"/>
      <sheetName val="TBID"/>
    </sheetNames>
    <sheetDataSet>
      <sheetData sheetId="0">
        <row r="122">
          <cell r="C122">
            <v>1175232.43</v>
          </cell>
          <cell r="D122">
            <v>1261290.44</v>
          </cell>
          <cell r="E122">
            <v>614628.1</v>
          </cell>
          <cell r="F122">
            <v>378295.73</v>
          </cell>
          <cell r="G122">
            <v>326835.57</v>
          </cell>
          <cell r="H122">
            <v>1815044.3599999999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40"/>
  <sheetViews>
    <sheetView tabSelected="1" topLeftCell="A143" zoomScaleNormal="100" workbookViewId="0">
      <selection activeCell="C175" sqref="C175"/>
    </sheetView>
  </sheetViews>
  <sheetFormatPr defaultColWidth="0" defaultRowHeight="12.75" zeroHeight="1" x14ac:dyDescent="0.2"/>
  <cols>
    <col min="1" max="1" width="43.85546875" style="29" customWidth="1"/>
    <col min="2" max="2" width="0.7109375" hidden="1" customWidth="1"/>
    <col min="3" max="14" width="13.7109375" customWidth="1"/>
    <col min="15" max="15" width="14.7109375" customWidth="1"/>
    <col min="16" max="16" width="1.42578125" customWidth="1"/>
    <col min="17" max="17" width="15.28515625" bestFit="1" customWidth="1"/>
    <col min="18" max="16384" width="9.140625" hidden="1"/>
  </cols>
  <sheetData>
    <row r="1" spans="1:15" ht="11.25" hidden="1" customHeight="1" x14ac:dyDescent="0.25">
      <c r="A1" s="31" t="s">
        <v>21</v>
      </c>
      <c r="B1" s="6"/>
      <c r="C1" s="6"/>
      <c r="D1" s="6"/>
      <c r="E1" s="6"/>
      <c r="G1" s="30" t="s">
        <v>27</v>
      </c>
      <c r="H1" s="30"/>
      <c r="I1" s="30"/>
      <c r="J1" s="30"/>
      <c r="K1" s="30"/>
      <c r="L1" s="30"/>
      <c r="M1" s="30"/>
      <c r="N1" s="30"/>
      <c r="O1" s="16"/>
    </row>
    <row r="2" spans="1:15" ht="15.75" hidden="1" x14ac:dyDescent="0.25">
      <c r="A2" s="32" t="s">
        <v>15</v>
      </c>
      <c r="B2" s="10"/>
      <c r="C2" s="10"/>
      <c r="D2" s="10"/>
      <c r="E2" s="10"/>
      <c r="G2" s="30" t="s">
        <v>25</v>
      </c>
      <c r="H2" s="30"/>
      <c r="I2" s="30"/>
      <c r="J2" s="30"/>
      <c r="K2" s="30"/>
      <c r="L2" s="30"/>
      <c r="M2" s="30"/>
      <c r="N2" s="30"/>
      <c r="O2" s="16"/>
    </row>
    <row r="3" spans="1:15" ht="15" hidden="1" x14ac:dyDescent="0.25">
      <c r="A3" s="33" t="s">
        <v>14</v>
      </c>
      <c r="G3" s="30" t="s">
        <v>29</v>
      </c>
      <c r="H3" s="16"/>
      <c r="I3" s="16"/>
      <c r="J3" s="16"/>
      <c r="K3" s="16"/>
      <c r="L3" s="16"/>
      <c r="M3" s="16"/>
      <c r="N3" s="16"/>
      <c r="O3" s="16"/>
    </row>
    <row r="4" spans="1:15" hidden="1" x14ac:dyDescent="0.2">
      <c r="A4" s="34" t="str">
        <f ca="1">CELL("filename")</f>
        <v>Y:\Revenue Team\Susan Cash\[TOT and TBID projections - Including Measure L 25-26.xlsx]TOT - Baseline</v>
      </c>
    </row>
    <row r="61" spans="1:15" ht="11.25" hidden="1" customHeight="1" x14ac:dyDescent="0.2"/>
    <row r="62" spans="1:15" ht="11.25" hidden="1" customHeight="1" x14ac:dyDescent="0.3">
      <c r="A62" s="35" t="s">
        <v>28</v>
      </c>
    </row>
    <row r="63" spans="1:15" ht="11.25" hidden="1" customHeight="1" x14ac:dyDescent="0.2"/>
    <row r="64" spans="1:15" ht="11.25" hidden="1" customHeight="1" x14ac:dyDescent="0.25">
      <c r="A64" s="36" t="s">
        <v>26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8"/>
    </row>
    <row r="65" spans="1:15" hidden="1" x14ac:dyDescent="0.2">
      <c r="A65" s="37"/>
      <c r="B65" s="21"/>
      <c r="C65" s="22" t="s">
        <v>1</v>
      </c>
      <c r="D65" s="22" t="s">
        <v>2</v>
      </c>
      <c r="E65" s="22" t="s">
        <v>3</v>
      </c>
      <c r="F65" s="22" t="s">
        <v>4</v>
      </c>
      <c r="G65" s="23" t="s">
        <v>5</v>
      </c>
      <c r="H65" s="23" t="s">
        <v>6</v>
      </c>
      <c r="I65" s="23" t="s">
        <v>7</v>
      </c>
      <c r="J65" s="22" t="s">
        <v>8</v>
      </c>
      <c r="K65" s="23" t="s">
        <v>9</v>
      </c>
      <c r="L65" s="23" t="s">
        <v>10</v>
      </c>
      <c r="M65" s="23" t="s">
        <v>11</v>
      </c>
      <c r="N65" s="22" t="s">
        <v>12</v>
      </c>
      <c r="O65" s="26"/>
    </row>
    <row r="66" spans="1:15" hidden="1" x14ac:dyDescent="0.2">
      <c r="A66" s="38" t="s">
        <v>24</v>
      </c>
      <c r="B66" s="2"/>
      <c r="C66" s="27">
        <f t="shared" ref="C66:N66" si="0">RANK(C100,$C100:$N100)</f>
        <v>1</v>
      </c>
      <c r="D66" s="27">
        <f t="shared" si="0"/>
        <v>2</v>
      </c>
      <c r="E66" s="27">
        <f t="shared" si="0"/>
        <v>4</v>
      </c>
      <c r="F66" s="27">
        <f t="shared" si="0"/>
        <v>6</v>
      </c>
      <c r="G66" s="27">
        <f t="shared" si="0"/>
        <v>10</v>
      </c>
      <c r="H66" s="27">
        <f t="shared" si="0"/>
        <v>9</v>
      </c>
      <c r="I66" s="27">
        <f t="shared" si="0"/>
        <v>7</v>
      </c>
      <c r="J66" s="27">
        <f t="shared" si="0"/>
        <v>5</v>
      </c>
      <c r="K66" s="27">
        <f t="shared" si="0"/>
        <v>8</v>
      </c>
      <c r="L66" s="27">
        <f t="shared" si="0"/>
        <v>12</v>
      </c>
      <c r="M66" s="27">
        <f t="shared" si="0"/>
        <v>11</v>
      </c>
      <c r="N66" s="27">
        <f t="shared" si="0"/>
        <v>3</v>
      </c>
      <c r="O66" s="19"/>
    </row>
    <row r="67" spans="1:15" hidden="1" x14ac:dyDescent="0.2">
      <c r="A67" s="38">
        <v>2008</v>
      </c>
      <c r="B67" s="2"/>
      <c r="C67" s="27">
        <f t="shared" ref="C67:N67" si="1">RANK(C96,$C96:$N96)</f>
        <v>1</v>
      </c>
      <c r="D67" s="27">
        <f t="shared" si="1"/>
        <v>2</v>
      </c>
      <c r="E67" s="27">
        <f t="shared" si="1"/>
        <v>3</v>
      </c>
      <c r="F67" s="27">
        <f t="shared" si="1"/>
        <v>7</v>
      </c>
      <c r="G67" s="27">
        <f t="shared" si="1"/>
        <v>11</v>
      </c>
      <c r="H67" s="27">
        <f t="shared" si="1"/>
        <v>8</v>
      </c>
      <c r="I67" s="27">
        <f t="shared" si="1"/>
        <v>6</v>
      </c>
      <c r="J67" s="27">
        <f t="shared" si="1"/>
        <v>5</v>
      </c>
      <c r="K67" s="27">
        <f t="shared" si="1"/>
        <v>9</v>
      </c>
      <c r="L67" s="27">
        <f t="shared" si="1"/>
        <v>12</v>
      </c>
      <c r="M67" s="27">
        <f t="shared" si="1"/>
        <v>10</v>
      </c>
      <c r="N67" s="27">
        <f t="shared" si="1"/>
        <v>4</v>
      </c>
      <c r="O67" s="19"/>
    </row>
    <row r="68" spans="1:15" hidden="1" x14ac:dyDescent="0.2">
      <c r="A68" s="38">
        <v>2009</v>
      </c>
      <c r="B68" s="2"/>
      <c r="C68" s="27">
        <f t="shared" ref="C68:N68" si="2">RANK(C97,$C97:$N97)</f>
        <v>2</v>
      </c>
      <c r="D68" s="27">
        <f t="shared" si="2"/>
        <v>3</v>
      </c>
      <c r="E68" s="27">
        <f t="shared" si="2"/>
        <v>4</v>
      </c>
      <c r="F68" s="27">
        <f t="shared" si="2"/>
        <v>6</v>
      </c>
      <c r="G68" s="27">
        <f t="shared" si="2"/>
        <v>10</v>
      </c>
      <c r="H68" s="27">
        <f t="shared" si="2"/>
        <v>9</v>
      </c>
      <c r="I68" s="27">
        <f t="shared" si="2"/>
        <v>7</v>
      </c>
      <c r="J68" s="27">
        <f t="shared" si="2"/>
        <v>5</v>
      </c>
      <c r="K68" s="27">
        <f t="shared" si="2"/>
        <v>8</v>
      </c>
      <c r="L68" s="27">
        <f t="shared" si="2"/>
        <v>11</v>
      </c>
      <c r="M68" s="27">
        <f t="shared" si="2"/>
        <v>12</v>
      </c>
      <c r="N68" s="27">
        <f t="shared" si="2"/>
        <v>1</v>
      </c>
      <c r="O68" s="19"/>
    </row>
    <row r="69" spans="1:15" hidden="1" x14ac:dyDescent="0.2">
      <c r="A69" s="39">
        <v>2010</v>
      </c>
      <c r="B69" s="18"/>
      <c r="C69" s="28">
        <f t="shared" ref="C69:N69" si="3">RANK(C98,$C98:$N98)</f>
        <v>3</v>
      </c>
      <c r="D69" s="28">
        <f t="shared" si="3"/>
        <v>2</v>
      </c>
      <c r="E69" s="28">
        <f t="shared" si="3"/>
        <v>4</v>
      </c>
      <c r="F69" s="28">
        <f t="shared" si="3"/>
        <v>5</v>
      </c>
      <c r="G69" s="28">
        <f t="shared" si="3"/>
        <v>10</v>
      </c>
      <c r="H69" s="28">
        <f t="shared" si="3"/>
        <v>9</v>
      </c>
      <c r="I69" s="28">
        <f t="shared" si="3"/>
        <v>7</v>
      </c>
      <c r="J69" s="28">
        <f t="shared" si="3"/>
        <v>6</v>
      </c>
      <c r="K69" s="28">
        <f t="shared" si="3"/>
        <v>8</v>
      </c>
      <c r="L69" s="28">
        <f t="shared" si="3"/>
        <v>12</v>
      </c>
      <c r="M69" s="28">
        <f t="shared" si="3"/>
        <v>11</v>
      </c>
      <c r="N69" s="28">
        <f t="shared" si="3"/>
        <v>1</v>
      </c>
      <c r="O69" s="20"/>
    </row>
    <row r="70" spans="1:15" ht="11.25" hidden="1" customHeight="1" x14ac:dyDescent="0.2">
      <c r="C70" s="1"/>
      <c r="D70" s="1"/>
      <c r="E70" s="1"/>
      <c r="F70" s="1"/>
      <c r="G70" s="9"/>
      <c r="H70" s="1"/>
      <c r="I70" s="1"/>
      <c r="J70" s="1"/>
      <c r="K70" s="1"/>
      <c r="L70" s="1"/>
      <c r="M70" s="1"/>
      <c r="N70" s="1"/>
      <c r="O70" s="1"/>
    </row>
    <row r="71" spans="1:15" hidden="1" x14ac:dyDescent="0.2">
      <c r="A71" s="29" t="s">
        <v>13</v>
      </c>
      <c r="C71" s="14" t="s">
        <v>23</v>
      </c>
      <c r="D71" s="12" t="s">
        <v>18</v>
      </c>
      <c r="E71" s="15" t="s">
        <v>22</v>
      </c>
      <c r="F71" s="13" t="s">
        <v>19</v>
      </c>
    </row>
    <row r="72" spans="1:15" ht="15" hidden="1" x14ac:dyDescent="0.25">
      <c r="A72" s="64" t="s">
        <v>43</v>
      </c>
    </row>
    <row r="73" spans="1:15" ht="11.25" hidden="1" customHeight="1" x14ac:dyDescent="0.25">
      <c r="A73" s="36" t="s">
        <v>32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8"/>
    </row>
    <row r="74" spans="1:15" ht="11.25" hidden="1" customHeight="1" thickBot="1" x14ac:dyDescent="0.25">
      <c r="A74" s="40" t="s">
        <v>17</v>
      </c>
      <c r="B74" s="21"/>
      <c r="C74" s="22" t="s">
        <v>1</v>
      </c>
      <c r="D74" s="22" t="s">
        <v>2</v>
      </c>
      <c r="E74" s="22" t="s">
        <v>3</v>
      </c>
      <c r="F74" s="22" t="s">
        <v>4</v>
      </c>
      <c r="G74" s="23" t="s">
        <v>5</v>
      </c>
      <c r="H74" s="23" t="s">
        <v>6</v>
      </c>
      <c r="I74" s="23" t="s">
        <v>7</v>
      </c>
      <c r="J74" s="22" t="s">
        <v>8</v>
      </c>
      <c r="K74" s="23" t="s">
        <v>9</v>
      </c>
      <c r="L74" s="23" t="s">
        <v>10</v>
      </c>
      <c r="M74" s="23" t="s">
        <v>11</v>
      </c>
      <c r="N74" s="22" t="s">
        <v>12</v>
      </c>
      <c r="O74" s="24" t="s">
        <v>16</v>
      </c>
    </row>
    <row r="75" spans="1:15" ht="11.25" hidden="1" customHeight="1" x14ac:dyDescent="0.2">
      <c r="A75" s="41">
        <v>1987</v>
      </c>
      <c r="B75" s="4" t="s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40753.68</v>
      </c>
      <c r="M75" s="5">
        <v>105004.7</v>
      </c>
      <c r="N75" s="5">
        <v>415572.58</v>
      </c>
      <c r="O75" s="25">
        <v>561330.96</v>
      </c>
    </row>
    <row r="76" spans="1:15" ht="11.25" hidden="1" customHeight="1" x14ac:dyDescent="0.2">
      <c r="A76" s="38">
        <v>1988</v>
      </c>
      <c r="B76" s="2"/>
      <c r="C76" s="11">
        <v>463452.35</v>
      </c>
      <c r="D76" s="3">
        <v>472434.36</v>
      </c>
      <c r="E76" s="3">
        <v>409128.74</v>
      </c>
      <c r="F76" s="3">
        <v>142193.84</v>
      </c>
      <c r="G76" s="3">
        <v>87457.919999999998</v>
      </c>
      <c r="H76" s="3">
        <v>86997.35</v>
      </c>
      <c r="I76" s="3">
        <v>134911.25</v>
      </c>
      <c r="J76" s="3">
        <v>149556.70000000001</v>
      </c>
      <c r="K76" s="3">
        <v>94496.38</v>
      </c>
      <c r="L76" s="3">
        <v>59492.53</v>
      </c>
      <c r="M76" s="3">
        <v>97146.1</v>
      </c>
      <c r="N76" s="3">
        <v>433345.21</v>
      </c>
      <c r="O76" s="19">
        <v>2630612.73</v>
      </c>
    </row>
    <row r="77" spans="1:15" ht="11.25" hidden="1" customHeight="1" x14ac:dyDescent="0.2">
      <c r="A77" s="38">
        <v>1989</v>
      </c>
      <c r="B77" s="2"/>
      <c r="C77" s="3">
        <v>536836.18999999994</v>
      </c>
      <c r="D77" s="3">
        <v>499601.77</v>
      </c>
      <c r="E77" s="3">
        <v>470505.99</v>
      </c>
      <c r="F77" s="3">
        <v>162648.19</v>
      </c>
      <c r="G77" s="3">
        <v>78212.41</v>
      </c>
      <c r="H77" s="3">
        <v>98658.43</v>
      </c>
      <c r="I77" s="3">
        <v>152397.97</v>
      </c>
      <c r="J77" s="3">
        <v>173089.84</v>
      </c>
      <c r="K77" s="3">
        <v>133662.94</v>
      </c>
      <c r="L77" s="3">
        <v>71339.95</v>
      </c>
      <c r="M77" s="3">
        <v>107145.1</v>
      </c>
      <c r="N77" s="3">
        <v>462190.29</v>
      </c>
      <c r="O77" s="19">
        <v>2946289.07</v>
      </c>
    </row>
    <row r="78" spans="1:15" ht="11.25" hidden="1" customHeight="1" x14ac:dyDescent="0.2">
      <c r="A78" s="38">
        <v>1990</v>
      </c>
      <c r="B78" s="2"/>
      <c r="C78" s="3">
        <v>439439.37</v>
      </c>
      <c r="D78" s="3">
        <v>545967.43999999994</v>
      </c>
      <c r="E78" s="3">
        <v>508021.44</v>
      </c>
      <c r="F78" s="3">
        <v>201558.86</v>
      </c>
      <c r="G78" s="3">
        <v>79244.399999999994</v>
      </c>
      <c r="H78" s="3">
        <v>112115.66</v>
      </c>
      <c r="I78" s="3">
        <v>154214.65</v>
      </c>
      <c r="J78" s="3">
        <v>194316.58</v>
      </c>
      <c r="K78" s="3">
        <v>117471.01</v>
      </c>
      <c r="L78" s="3">
        <v>67224.78</v>
      </c>
      <c r="M78" s="3">
        <v>50272.93</v>
      </c>
      <c r="N78" s="3">
        <v>294770.87</v>
      </c>
      <c r="O78" s="19">
        <v>2764617.99</v>
      </c>
    </row>
    <row r="79" spans="1:15" ht="11.25" hidden="1" customHeight="1" x14ac:dyDescent="0.2">
      <c r="A79" s="38">
        <v>1991</v>
      </c>
      <c r="B79" s="2"/>
      <c r="C79" s="3">
        <v>262914.59000000003</v>
      </c>
      <c r="D79" s="3">
        <v>123916.4</v>
      </c>
      <c r="E79" s="3">
        <v>245607.26</v>
      </c>
      <c r="F79" s="3">
        <v>242464.21</v>
      </c>
      <c r="G79" s="3">
        <v>95245.37</v>
      </c>
      <c r="H79" s="3">
        <v>114679.29</v>
      </c>
      <c r="I79" s="3">
        <v>184564.63</v>
      </c>
      <c r="J79" s="3">
        <v>232500.49</v>
      </c>
      <c r="K79" s="3">
        <v>131630.29</v>
      </c>
      <c r="L79" s="3">
        <v>73999.28</v>
      </c>
      <c r="M79" s="3">
        <v>112156.55</v>
      </c>
      <c r="N79" s="3">
        <v>375874.24</v>
      </c>
      <c r="O79" s="19">
        <v>2195552.6</v>
      </c>
    </row>
    <row r="80" spans="1:15" ht="11.25" hidden="1" customHeight="1" x14ac:dyDescent="0.2">
      <c r="A80" s="38">
        <v>1992</v>
      </c>
      <c r="B80" s="2"/>
      <c r="C80" s="3">
        <v>472900.33</v>
      </c>
      <c r="D80" s="3">
        <v>510134.53</v>
      </c>
      <c r="E80" s="3">
        <v>406748.64</v>
      </c>
      <c r="F80" s="3">
        <v>218546.43</v>
      </c>
      <c r="G80" s="3">
        <v>79760.070000000007</v>
      </c>
      <c r="H80" s="3">
        <v>143001.62</v>
      </c>
      <c r="I80" s="3">
        <v>211053.18</v>
      </c>
      <c r="J80" s="3">
        <v>246729.05</v>
      </c>
      <c r="K80" s="3">
        <v>148611.32</v>
      </c>
      <c r="L80" s="3">
        <v>83024.850000000006</v>
      </c>
      <c r="M80" s="3">
        <v>99553.89</v>
      </c>
      <c r="N80" s="3">
        <v>447468.29</v>
      </c>
      <c r="O80" s="19">
        <v>3067532.2</v>
      </c>
    </row>
    <row r="81" spans="1:15" ht="11.25" hidden="1" customHeight="1" x14ac:dyDescent="0.2">
      <c r="A81" s="38">
        <v>1993</v>
      </c>
      <c r="B81" s="2"/>
      <c r="C81" s="3">
        <v>506131.61</v>
      </c>
      <c r="D81" s="3">
        <v>495873.92</v>
      </c>
      <c r="E81" s="3">
        <v>439404.44</v>
      </c>
      <c r="F81" s="3">
        <v>278635.56</v>
      </c>
      <c r="G81" s="3">
        <v>104313.03</v>
      </c>
      <c r="H81" s="3">
        <v>102580.43</v>
      </c>
      <c r="I81" s="3">
        <v>259693.13</v>
      </c>
      <c r="J81" s="3">
        <v>277157.59000000003</v>
      </c>
      <c r="K81" s="3">
        <v>174886.59</v>
      </c>
      <c r="L81" s="3">
        <v>87942.81</v>
      </c>
      <c r="M81" s="3">
        <v>76242.34</v>
      </c>
      <c r="N81" s="3">
        <v>457775.51</v>
      </c>
      <c r="O81" s="19">
        <v>3260636.96</v>
      </c>
    </row>
    <row r="82" spans="1:15" ht="11.25" hidden="1" customHeight="1" x14ac:dyDescent="0.2">
      <c r="A82" s="38">
        <v>1994</v>
      </c>
      <c r="B82" s="2"/>
      <c r="C82" s="3">
        <v>298395.3</v>
      </c>
      <c r="D82" s="3">
        <v>374297.05</v>
      </c>
      <c r="E82" s="3">
        <v>409666.02</v>
      </c>
      <c r="F82" s="3">
        <v>193356.27</v>
      </c>
      <c r="G82" s="3">
        <v>96701.87</v>
      </c>
      <c r="H82" s="3">
        <v>138342.51</v>
      </c>
      <c r="I82" s="3">
        <v>278770.78999999998</v>
      </c>
      <c r="J82" s="3">
        <v>298439.09999999998</v>
      </c>
      <c r="K82" s="3">
        <v>180416.91</v>
      </c>
      <c r="L82" s="3">
        <v>86567.88</v>
      </c>
      <c r="M82" s="3">
        <v>123967.09</v>
      </c>
      <c r="N82" s="3">
        <v>562631.86</v>
      </c>
      <c r="O82" s="19">
        <v>3041552.65</v>
      </c>
    </row>
    <row r="83" spans="1:15" ht="11.25" hidden="1" customHeight="1" x14ac:dyDescent="0.2">
      <c r="A83" s="38">
        <v>1995</v>
      </c>
      <c r="B83" s="2"/>
      <c r="C83" s="3">
        <v>483553.57</v>
      </c>
      <c r="D83" s="3">
        <v>586796.65</v>
      </c>
      <c r="E83" s="3">
        <v>491492.17</v>
      </c>
      <c r="F83" s="3">
        <v>353132.56</v>
      </c>
      <c r="G83" s="3">
        <v>150945.68</v>
      </c>
      <c r="H83" s="3">
        <v>144365.35999999999</v>
      </c>
      <c r="I83" s="3">
        <v>324951.67999999999</v>
      </c>
      <c r="J83" s="3">
        <v>360239.95</v>
      </c>
      <c r="K83" s="3">
        <v>208353.46</v>
      </c>
      <c r="L83" s="3">
        <v>114480.21</v>
      </c>
      <c r="M83" s="3">
        <v>76169.86</v>
      </c>
      <c r="N83" s="3">
        <v>520877.66</v>
      </c>
      <c r="O83" s="19">
        <v>3815358.81</v>
      </c>
    </row>
    <row r="84" spans="1:15" ht="11.25" hidden="1" customHeight="1" x14ac:dyDescent="0.2">
      <c r="A84" s="38">
        <v>1996</v>
      </c>
      <c r="B84" s="2"/>
      <c r="C84" s="3">
        <v>429304.67</v>
      </c>
      <c r="D84" s="3">
        <v>584715.31000000006</v>
      </c>
      <c r="E84" s="3">
        <v>558667.42000000004</v>
      </c>
      <c r="F84" s="3">
        <v>299529.21999999997</v>
      </c>
      <c r="G84" s="3">
        <v>113355.93</v>
      </c>
      <c r="H84" s="3">
        <v>165718.5</v>
      </c>
      <c r="I84" s="3">
        <v>302001.43</v>
      </c>
      <c r="J84" s="3">
        <v>403057.34</v>
      </c>
      <c r="K84" s="3">
        <v>213808.91</v>
      </c>
      <c r="L84" s="3">
        <v>115827.65</v>
      </c>
      <c r="M84" s="3">
        <v>143193.81</v>
      </c>
      <c r="N84" s="3">
        <v>587674.38</v>
      </c>
      <c r="O84" s="19">
        <v>3916854.57</v>
      </c>
    </row>
    <row r="85" spans="1:15" ht="11.25" hidden="1" customHeight="1" x14ac:dyDescent="0.2">
      <c r="A85" s="38">
        <v>1997</v>
      </c>
      <c r="B85" s="2"/>
      <c r="C85" s="3">
        <v>610952.32999999996</v>
      </c>
      <c r="D85" s="3">
        <v>605804.41</v>
      </c>
      <c r="E85" s="3">
        <v>543248.56999999995</v>
      </c>
      <c r="F85" s="3">
        <v>248144.98</v>
      </c>
      <c r="G85" s="3">
        <v>113560.4</v>
      </c>
      <c r="H85" s="3">
        <v>156371.32999999999</v>
      </c>
      <c r="I85" s="3">
        <v>352158.87</v>
      </c>
      <c r="J85" s="3">
        <v>432903.87</v>
      </c>
      <c r="K85" s="3">
        <v>197028.68</v>
      </c>
      <c r="L85" s="3">
        <v>105350.97</v>
      </c>
      <c r="M85" s="3">
        <v>149324.69</v>
      </c>
      <c r="N85" s="3">
        <v>607510.18000000005</v>
      </c>
      <c r="O85" s="19">
        <v>4122359.28</v>
      </c>
    </row>
    <row r="86" spans="1:15" ht="11.25" hidden="1" customHeight="1" x14ac:dyDescent="0.2">
      <c r="A86" s="38">
        <v>1998</v>
      </c>
      <c r="B86" s="2"/>
      <c r="C86" s="3">
        <v>607180.06000000006</v>
      </c>
      <c r="D86" s="3">
        <v>574591.09</v>
      </c>
      <c r="E86" s="3">
        <v>486660.61</v>
      </c>
      <c r="F86" s="3">
        <v>404566.6</v>
      </c>
      <c r="G86" s="3">
        <v>150222.07999999999</v>
      </c>
      <c r="H86" s="3">
        <v>150992.16</v>
      </c>
      <c r="I86" s="3">
        <v>340016.04</v>
      </c>
      <c r="J86" s="3">
        <v>407522.85</v>
      </c>
      <c r="K86" s="3">
        <v>229102</v>
      </c>
      <c r="L86" s="3">
        <v>116912.65</v>
      </c>
      <c r="M86" s="3">
        <v>144637.32</v>
      </c>
      <c r="N86" s="3">
        <v>651639.52</v>
      </c>
      <c r="O86" s="19">
        <v>4264042.9800000004</v>
      </c>
    </row>
    <row r="87" spans="1:15" ht="11.25" hidden="1" customHeight="1" x14ac:dyDescent="0.2">
      <c r="A87" s="38">
        <v>1999</v>
      </c>
      <c r="B87" s="2"/>
      <c r="C87" s="3">
        <v>578887.85</v>
      </c>
      <c r="D87" s="3">
        <v>637336.27</v>
      </c>
      <c r="E87" s="3">
        <v>556415.39</v>
      </c>
      <c r="F87" s="3">
        <v>396724.69</v>
      </c>
      <c r="G87" s="3">
        <v>136734.04</v>
      </c>
      <c r="H87" s="3">
        <v>187187.06</v>
      </c>
      <c r="I87" s="3">
        <v>396679.72</v>
      </c>
      <c r="J87" s="3">
        <v>464124.57</v>
      </c>
      <c r="K87" s="3">
        <v>251723.76</v>
      </c>
      <c r="L87" s="3">
        <v>140037.32</v>
      </c>
      <c r="M87" s="3">
        <v>135947.99</v>
      </c>
      <c r="N87" s="3">
        <v>648915.36</v>
      </c>
      <c r="O87" s="19">
        <v>4530714.0199999996</v>
      </c>
    </row>
    <row r="88" spans="1:15" ht="11.25" hidden="1" customHeight="1" x14ac:dyDescent="0.2">
      <c r="A88" s="38">
        <v>2000</v>
      </c>
      <c r="B88" s="2"/>
      <c r="C88" s="17">
        <v>570569.21</v>
      </c>
      <c r="D88" s="17">
        <v>762658.81</v>
      </c>
      <c r="E88" s="17">
        <v>698743.16</v>
      </c>
      <c r="F88" s="17">
        <v>508698.68</v>
      </c>
      <c r="G88" s="17">
        <v>179419.37</v>
      </c>
      <c r="H88" s="17">
        <v>233604.31</v>
      </c>
      <c r="I88" s="17">
        <v>405034.16</v>
      </c>
      <c r="J88" s="17">
        <v>491075.05</v>
      </c>
      <c r="K88" s="17">
        <v>293213.24</v>
      </c>
      <c r="L88" s="17">
        <v>149582.57</v>
      </c>
      <c r="M88" s="17">
        <v>239611.35</v>
      </c>
      <c r="N88" s="17">
        <v>750499.73</v>
      </c>
      <c r="O88" s="19">
        <v>5282709.6399999997</v>
      </c>
    </row>
    <row r="89" spans="1:15" ht="11.25" hidden="1" customHeight="1" x14ac:dyDescent="0.2">
      <c r="A89" s="38">
        <v>2001</v>
      </c>
      <c r="B89" s="2"/>
      <c r="C89" s="17">
        <v>728716.76</v>
      </c>
      <c r="D89" s="17">
        <v>792083.1</v>
      </c>
      <c r="E89" s="17">
        <v>783561.72</v>
      </c>
      <c r="F89" s="17">
        <v>519773.32</v>
      </c>
      <c r="G89" s="17">
        <v>161990.51</v>
      </c>
      <c r="H89" s="17">
        <v>222625.44</v>
      </c>
      <c r="I89" s="17">
        <v>413926.97</v>
      </c>
      <c r="J89" s="17">
        <v>504875.25</v>
      </c>
      <c r="K89" s="17">
        <v>234002.88</v>
      </c>
      <c r="L89" s="17">
        <v>140746.62</v>
      </c>
      <c r="M89" s="17">
        <v>194773.08</v>
      </c>
      <c r="N89" s="17">
        <v>797595.82</v>
      </c>
      <c r="O89" s="19">
        <v>5494671.4699999997</v>
      </c>
    </row>
    <row r="90" spans="1:15" ht="11.25" hidden="1" customHeight="1" x14ac:dyDescent="0.2">
      <c r="A90" s="38">
        <v>2002</v>
      </c>
      <c r="B90" s="2"/>
      <c r="C90" s="17">
        <v>946643.95</v>
      </c>
      <c r="D90" s="17">
        <v>931138.59</v>
      </c>
      <c r="E90" s="17">
        <v>951762.57</v>
      </c>
      <c r="F90" s="17">
        <v>485695.12</v>
      </c>
      <c r="G90" s="17">
        <v>158154.64000000001</v>
      </c>
      <c r="H90" s="17">
        <v>237507.39</v>
      </c>
      <c r="I90" s="17">
        <v>501759.65</v>
      </c>
      <c r="J90" s="17">
        <v>632035.69999999995</v>
      </c>
      <c r="K90" s="17">
        <v>277920.25</v>
      </c>
      <c r="L90" s="17">
        <v>163978.66</v>
      </c>
      <c r="M90" s="17">
        <v>272821.28999999998</v>
      </c>
      <c r="N90" s="17">
        <v>1070225.57</v>
      </c>
      <c r="O90" s="19">
        <v>6629643.3799999999</v>
      </c>
    </row>
    <row r="91" spans="1:15" ht="11.25" hidden="1" customHeight="1" x14ac:dyDescent="0.2">
      <c r="A91" s="38">
        <v>2003</v>
      </c>
      <c r="B91" s="2"/>
      <c r="C91" s="17">
        <v>1314261.8400000001</v>
      </c>
      <c r="D91" s="17">
        <v>1172804.77</v>
      </c>
      <c r="E91" s="17">
        <v>1002502.67</v>
      </c>
      <c r="F91" s="17">
        <v>709244.59</v>
      </c>
      <c r="G91" s="17">
        <v>250928.83</v>
      </c>
      <c r="H91" s="17">
        <v>297610.82</v>
      </c>
      <c r="I91" s="17">
        <v>502061.43</v>
      </c>
      <c r="J91" s="17">
        <v>681954.07</v>
      </c>
      <c r="K91" s="17">
        <v>279238.49</v>
      </c>
      <c r="L91" s="17">
        <v>181952.41</v>
      </c>
      <c r="M91" s="17">
        <v>337244.42</v>
      </c>
      <c r="N91" s="17">
        <v>1202881.23</v>
      </c>
      <c r="O91" s="19">
        <v>7932685.5700000003</v>
      </c>
    </row>
    <row r="92" spans="1:15" ht="11.25" hidden="1" customHeight="1" x14ac:dyDescent="0.2">
      <c r="A92" s="38">
        <v>2004</v>
      </c>
      <c r="B92" s="2"/>
      <c r="C92" s="17">
        <v>1467543.3</v>
      </c>
      <c r="D92" s="17">
        <v>1440352.9</v>
      </c>
      <c r="E92" s="17">
        <v>1010021.49</v>
      </c>
      <c r="F92" s="17">
        <v>759880.69</v>
      </c>
      <c r="G92" s="17">
        <v>216661.7</v>
      </c>
      <c r="H92" s="17">
        <v>304198.32</v>
      </c>
      <c r="I92" s="17">
        <v>548171.39</v>
      </c>
      <c r="J92" s="17">
        <v>649274.77</v>
      </c>
      <c r="K92" s="17">
        <v>346240.77</v>
      </c>
      <c r="L92" s="17">
        <v>218488.29</v>
      </c>
      <c r="M92" s="17">
        <v>562771.69999999995</v>
      </c>
      <c r="N92" s="17">
        <v>1536988.98</v>
      </c>
      <c r="O92" s="19">
        <v>9060594.3000000007</v>
      </c>
    </row>
    <row r="93" spans="1:15" ht="11.25" hidden="1" customHeight="1" x14ac:dyDescent="0.2">
      <c r="A93" s="43">
        <v>2005</v>
      </c>
      <c r="B93" s="44"/>
      <c r="C93" s="45">
        <v>1560023.19</v>
      </c>
      <c r="D93" s="45">
        <v>1452363.59</v>
      </c>
      <c r="E93" s="45">
        <v>1380408.13</v>
      </c>
      <c r="F93" s="45">
        <v>761041.73</v>
      </c>
      <c r="G93" s="45">
        <v>319430.55</v>
      </c>
      <c r="H93" s="45">
        <v>302440.63</v>
      </c>
      <c r="I93" s="45">
        <v>596232.93000000005</v>
      </c>
      <c r="J93" s="45">
        <v>691489.42</v>
      </c>
      <c r="K93" s="45">
        <v>399704.03</v>
      </c>
      <c r="L93" s="45">
        <v>206557.29</v>
      </c>
      <c r="M93" s="45">
        <v>352820.09</v>
      </c>
      <c r="N93" s="45">
        <v>1496933.21</v>
      </c>
      <c r="O93" s="46">
        <v>9519444.7899999991</v>
      </c>
    </row>
    <row r="94" spans="1:15" ht="11.25" hidden="1" customHeight="1" x14ac:dyDescent="0.2">
      <c r="A94" s="47">
        <v>2006</v>
      </c>
      <c r="B94" s="48"/>
      <c r="C94" s="49">
        <v>1826143.45</v>
      </c>
      <c r="D94" s="50">
        <v>1658132.64</v>
      </c>
      <c r="E94" s="50">
        <v>1453623.67</v>
      </c>
      <c r="F94" s="50">
        <v>1276119.56</v>
      </c>
      <c r="G94" s="50">
        <v>341666.52</v>
      </c>
      <c r="H94" s="50">
        <v>350521.86</v>
      </c>
      <c r="I94" s="50">
        <v>633260.72</v>
      </c>
      <c r="J94" s="50">
        <v>718340.28</v>
      </c>
      <c r="K94" s="50">
        <v>404528.27</v>
      </c>
      <c r="L94" s="50">
        <v>240540.81</v>
      </c>
      <c r="M94" s="50">
        <v>275920.8</v>
      </c>
      <c r="N94" s="50">
        <v>1455122.28</v>
      </c>
      <c r="O94" s="49">
        <v>10633920.859999999</v>
      </c>
    </row>
    <row r="95" spans="1:15" ht="11.25" hidden="1" customHeight="1" x14ac:dyDescent="0.2">
      <c r="A95" s="47">
        <v>2007</v>
      </c>
      <c r="B95" s="48"/>
      <c r="C95" s="50">
        <v>1694967.43</v>
      </c>
      <c r="D95" s="50">
        <v>1583253.15</v>
      </c>
      <c r="E95" s="50">
        <v>1249350.3500000001</v>
      </c>
      <c r="F95" s="50">
        <v>765323.31</v>
      </c>
      <c r="G95" s="50">
        <v>241871.46</v>
      </c>
      <c r="H95" s="50">
        <v>363885.65</v>
      </c>
      <c r="I95" s="50">
        <v>690020.49</v>
      </c>
      <c r="J95" s="50">
        <v>850957.86</v>
      </c>
      <c r="K95" s="50">
        <v>382540.55</v>
      </c>
      <c r="L95" s="50">
        <v>191090.25</v>
      </c>
      <c r="M95" s="50">
        <v>202901.75</v>
      </c>
      <c r="N95" s="50">
        <v>1533029.98</v>
      </c>
      <c r="O95" s="50">
        <f>SUM(C95:N95)</f>
        <v>9749192.2300000004</v>
      </c>
    </row>
    <row r="96" spans="1:15" ht="11.25" hidden="1" customHeight="1" x14ac:dyDescent="0.2">
      <c r="A96" s="47">
        <v>2008</v>
      </c>
      <c r="B96" s="48"/>
      <c r="C96" s="50">
        <v>1926938.65</v>
      </c>
      <c r="D96" s="50">
        <v>1890815.42</v>
      </c>
      <c r="E96" s="50">
        <v>1732074.91</v>
      </c>
      <c r="F96" s="50">
        <v>612594.14</v>
      </c>
      <c r="G96" s="50">
        <v>245108.26</v>
      </c>
      <c r="H96" s="50">
        <v>410409.49</v>
      </c>
      <c r="I96" s="50">
        <v>726330.75</v>
      </c>
      <c r="J96" s="50">
        <v>973546.78</v>
      </c>
      <c r="K96" s="50">
        <v>379749.07</v>
      </c>
      <c r="L96" s="50">
        <v>232426.88</v>
      </c>
      <c r="M96" s="50">
        <v>247159.02</v>
      </c>
      <c r="N96" s="50">
        <v>1591895.82</v>
      </c>
      <c r="O96" s="50">
        <f>SUM(C96:N96)</f>
        <v>10969049.189999999</v>
      </c>
    </row>
    <row r="97" spans="1:15" ht="11.25" hidden="1" customHeight="1" x14ac:dyDescent="0.2">
      <c r="A97" s="47">
        <v>2009</v>
      </c>
      <c r="B97" s="48"/>
      <c r="C97" s="50">
        <v>1561522.76</v>
      </c>
      <c r="D97" s="50">
        <v>1477336.19</v>
      </c>
      <c r="E97" s="50">
        <v>1028557.53</v>
      </c>
      <c r="F97" s="50">
        <v>774077.97</v>
      </c>
      <c r="G97" s="50">
        <v>299319.63</v>
      </c>
      <c r="H97" s="50">
        <v>369381.79</v>
      </c>
      <c r="I97" s="50">
        <v>745573.43</v>
      </c>
      <c r="J97" s="50">
        <v>866031.41</v>
      </c>
      <c r="K97" s="50">
        <v>421338.13</v>
      </c>
      <c r="L97" s="50">
        <v>210612.61</v>
      </c>
      <c r="M97" s="50">
        <v>208008.12</v>
      </c>
      <c r="N97" s="50">
        <v>1739523.1</v>
      </c>
      <c r="O97" s="50">
        <f>SUM(C97:N97)</f>
        <v>9701282.6699999999</v>
      </c>
    </row>
    <row r="98" spans="1:15" ht="19.5" hidden="1" customHeight="1" x14ac:dyDescent="0.2">
      <c r="A98" s="47">
        <v>2010</v>
      </c>
      <c r="B98" s="48"/>
      <c r="C98" s="50">
        <v>1680971.53</v>
      </c>
      <c r="D98" s="50">
        <v>1687681.97</v>
      </c>
      <c r="E98" s="50">
        <v>1263119.3999999999</v>
      </c>
      <c r="F98" s="50">
        <v>971474.32</v>
      </c>
      <c r="G98" s="50">
        <v>303678.87</v>
      </c>
      <c r="H98" s="50">
        <v>383274.03</v>
      </c>
      <c r="I98" s="50">
        <v>833809.03</v>
      </c>
      <c r="J98" s="50">
        <v>934572.21</v>
      </c>
      <c r="K98" s="50">
        <v>471611.94</v>
      </c>
      <c r="L98" s="50">
        <v>229609.13</v>
      </c>
      <c r="M98" s="50">
        <v>302313.64</v>
      </c>
      <c r="N98" s="50">
        <v>1948907.85</v>
      </c>
      <c r="O98" s="50">
        <f>SUM(C98:N98)</f>
        <v>11011023.920000002</v>
      </c>
    </row>
    <row r="99" spans="1:15" ht="16.5" hidden="1" customHeight="1" x14ac:dyDescent="0.2">
      <c r="A99" s="47">
        <v>2011</v>
      </c>
      <c r="B99" s="51" t="s">
        <v>30</v>
      </c>
      <c r="C99" s="50">
        <v>1685441.88</v>
      </c>
      <c r="D99" s="50">
        <v>1672979.16</v>
      </c>
      <c r="E99" s="50">
        <v>1338510.8799999999</v>
      </c>
      <c r="F99" s="50">
        <v>985216.2</v>
      </c>
      <c r="G99" s="50">
        <v>356001.11</v>
      </c>
      <c r="H99" s="50">
        <v>450743.67</v>
      </c>
      <c r="I99" s="50">
        <v>947128.92</v>
      </c>
      <c r="J99" s="50">
        <v>1061916.97</v>
      </c>
      <c r="K99" s="50">
        <v>565779.42000000004</v>
      </c>
      <c r="L99" s="52">
        <v>278211.78000000003</v>
      </c>
      <c r="M99" s="52">
        <v>315260.75</v>
      </c>
      <c r="N99" s="52">
        <v>1667285.49</v>
      </c>
      <c r="O99" s="50">
        <f>SUM(C99:N99)</f>
        <v>11324476.23</v>
      </c>
    </row>
    <row r="100" spans="1:15" s="57" customFormat="1" ht="18" hidden="1" customHeight="1" x14ac:dyDescent="0.2">
      <c r="A100" s="53" t="s">
        <v>24</v>
      </c>
      <c r="B100" s="54"/>
      <c r="C100" s="55">
        <f t="shared" ref="C100:O100" si="4">AVERAGE(C94:C99)</f>
        <v>1729330.95</v>
      </c>
      <c r="D100" s="56">
        <f t="shared" si="4"/>
        <v>1661699.7549999999</v>
      </c>
      <c r="E100" s="56">
        <f t="shared" si="4"/>
        <v>1344206.1233333333</v>
      </c>
      <c r="F100" s="56">
        <f t="shared" si="4"/>
        <v>897467.58333333349</v>
      </c>
      <c r="G100" s="56">
        <f t="shared" si="4"/>
        <v>297940.97500000003</v>
      </c>
      <c r="H100" s="56">
        <f t="shared" si="4"/>
        <v>388036.08166666672</v>
      </c>
      <c r="I100" s="56">
        <f t="shared" si="4"/>
        <v>762687.22333333327</v>
      </c>
      <c r="J100" s="56">
        <f t="shared" si="4"/>
        <v>900894.25166666659</v>
      </c>
      <c r="K100" s="56">
        <f t="shared" si="4"/>
        <v>437591.23</v>
      </c>
      <c r="L100" s="56">
        <f t="shared" si="4"/>
        <v>230415.24333333332</v>
      </c>
      <c r="M100" s="56">
        <f t="shared" si="4"/>
        <v>258594.01333333334</v>
      </c>
      <c r="N100" s="56">
        <f t="shared" si="4"/>
        <v>1655960.7533333332</v>
      </c>
      <c r="O100" s="55">
        <f t="shared" si="4"/>
        <v>10564824.183333335</v>
      </c>
    </row>
    <row r="101" spans="1:15" ht="15" hidden="1" customHeight="1" x14ac:dyDescent="0.2">
      <c r="A101" s="42" t="s">
        <v>31</v>
      </c>
      <c r="D101" s="1"/>
      <c r="E101" s="1"/>
      <c r="F101" s="1"/>
      <c r="G101" s="1"/>
      <c r="H101" s="1"/>
      <c r="I101" s="1"/>
      <c r="J101" s="1" t="s">
        <v>20</v>
      </c>
      <c r="K101" s="1"/>
      <c r="L101" s="1"/>
      <c r="M101" s="1"/>
      <c r="N101" s="1"/>
      <c r="O101" s="1"/>
    </row>
    <row r="103" spans="1:15" ht="33.75" customHeight="1" x14ac:dyDescent="0.2">
      <c r="A103" s="105" t="s">
        <v>124</v>
      </c>
    </row>
    <row r="104" spans="1:15" ht="15.75" x14ac:dyDescent="0.25">
      <c r="A104" s="36" t="s">
        <v>33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8"/>
    </row>
    <row r="105" spans="1:15" x14ac:dyDescent="0.2">
      <c r="A105" s="58" t="s">
        <v>17</v>
      </c>
      <c r="B105" s="59"/>
      <c r="C105" s="60" t="s">
        <v>7</v>
      </c>
      <c r="D105" s="61" t="s">
        <v>8</v>
      </c>
      <c r="E105" s="60" t="s">
        <v>9</v>
      </c>
      <c r="F105" s="60" t="s">
        <v>10</v>
      </c>
      <c r="G105" s="60" t="s">
        <v>11</v>
      </c>
      <c r="H105" s="61" t="s">
        <v>12</v>
      </c>
      <c r="I105" s="61" t="s">
        <v>1</v>
      </c>
      <c r="J105" s="61" t="s">
        <v>2</v>
      </c>
      <c r="K105" s="61" t="s">
        <v>3</v>
      </c>
      <c r="L105" s="61" t="s">
        <v>4</v>
      </c>
      <c r="M105" s="60" t="s">
        <v>5</v>
      </c>
      <c r="N105" s="60" t="s">
        <v>6</v>
      </c>
      <c r="O105" s="24" t="s">
        <v>16</v>
      </c>
    </row>
    <row r="106" spans="1:15" x14ac:dyDescent="0.2">
      <c r="A106" s="47" t="s">
        <v>34</v>
      </c>
      <c r="B106" s="48"/>
      <c r="C106" s="50">
        <v>633290</v>
      </c>
      <c r="D106" s="50">
        <v>718371</v>
      </c>
      <c r="E106" s="50">
        <v>404545</v>
      </c>
      <c r="F106" s="50">
        <f>L94</f>
        <v>240540.81</v>
      </c>
      <c r="G106" s="50">
        <f>M94</f>
        <v>275920.8</v>
      </c>
      <c r="H106" s="50">
        <f>N94</f>
        <v>1455122.28</v>
      </c>
      <c r="I106" s="50">
        <f t="shared" ref="I106:N106" si="5">C95</f>
        <v>1694967.43</v>
      </c>
      <c r="J106" s="50">
        <f t="shared" si="5"/>
        <v>1583253.15</v>
      </c>
      <c r="K106" s="50">
        <f t="shared" si="5"/>
        <v>1249350.3500000001</v>
      </c>
      <c r="L106" s="50">
        <f t="shared" si="5"/>
        <v>765323.31</v>
      </c>
      <c r="M106" s="50">
        <f t="shared" si="5"/>
        <v>241871.46</v>
      </c>
      <c r="N106" s="50">
        <f t="shared" si="5"/>
        <v>363885.65</v>
      </c>
      <c r="O106" s="50">
        <f>SUM(C106:N106)</f>
        <v>9626441.2400000002</v>
      </c>
    </row>
    <row r="107" spans="1:15" x14ac:dyDescent="0.2">
      <c r="A107" s="47" t="s">
        <v>40</v>
      </c>
      <c r="B107" s="48"/>
      <c r="C107" s="62">
        <f>C106/O106</f>
        <v>6.5786512815196901E-2</v>
      </c>
      <c r="D107" s="62">
        <f>SUM(C106:D106)/O106</f>
        <v>0.14041128661166585</v>
      </c>
      <c r="E107" s="62">
        <f>SUM(C106:E106)/O106</f>
        <v>0.18243564326789574</v>
      </c>
      <c r="F107" s="62">
        <f>SUM(C106:F106)/O106</f>
        <v>0.20742315464442601</v>
      </c>
      <c r="G107" s="62">
        <f>SUM(C106:G106)/O106</f>
        <v>0.23608595880236213</v>
      </c>
      <c r="H107" s="62">
        <f>SUM(C106:H106)/O106</f>
        <v>0.3872448599707029</v>
      </c>
      <c r="I107" s="62">
        <f>SUM(C106:I106)/O106</f>
        <v>0.56331900697292359</v>
      </c>
      <c r="J107" s="62">
        <f>SUM(C106:J106)/O106</f>
        <v>0.7277882132483674</v>
      </c>
      <c r="K107" s="62">
        <f>SUM(C106:K106)/O106</f>
        <v>0.85757141337934328</v>
      </c>
      <c r="L107" s="62">
        <f>SUM(C106:L106)/O106</f>
        <v>0.93707361891090701</v>
      </c>
      <c r="M107" s="62">
        <f>SUM(C106:M106)/O106</f>
        <v>0.96219935893983599</v>
      </c>
      <c r="N107" s="62">
        <f>SUM(C106:N106)/O106</f>
        <v>1</v>
      </c>
      <c r="O107" s="50"/>
    </row>
    <row r="108" spans="1:15" x14ac:dyDescent="0.2">
      <c r="A108" s="47" t="s">
        <v>35</v>
      </c>
      <c r="B108" s="48"/>
      <c r="C108" s="50">
        <f t="shared" ref="C108:H108" si="6">I95</f>
        <v>690020.49</v>
      </c>
      <c r="D108" s="50">
        <f t="shared" si="6"/>
        <v>850957.86</v>
      </c>
      <c r="E108" s="50">
        <f t="shared" si="6"/>
        <v>382540.55</v>
      </c>
      <c r="F108" s="50">
        <f t="shared" si="6"/>
        <v>191090.25</v>
      </c>
      <c r="G108" s="50">
        <f t="shared" si="6"/>
        <v>202901.75</v>
      </c>
      <c r="H108" s="50">
        <f t="shared" si="6"/>
        <v>1533029.98</v>
      </c>
      <c r="I108" s="50">
        <v>1926496.68</v>
      </c>
      <c r="J108" s="50">
        <v>1890371.97</v>
      </c>
      <c r="K108" s="50">
        <v>1731631.1</v>
      </c>
      <c r="L108" s="50">
        <v>612581.4</v>
      </c>
      <c r="M108" s="50">
        <f>G96</f>
        <v>245108.26</v>
      </c>
      <c r="N108" s="50">
        <f>H96</f>
        <v>410409.49</v>
      </c>
      <c r="O108" s="50">
        <f>SUM(C108:N108)</f>
        <v>10667139.780000001</v>
      </c>
    </row>
    <row r="109" spans="1:15" x14ac:dyDescent="0.2">
      <c r="A109" s="47" t="s">
        <v>40</v>
      </c>
      <c r="B109" s="48"/>
      <c r="C109" s="62">
        <f>C108/O108</f>
        <v>6.4686551805923739E-2</v>
      </c>
      <c r="D109" s="62">
        <f>SUM(C108:D108)/O108</f>
        <v>0.14446031286561054</v>
      </c>
      <c r="E109" s="62">
        <f>SUM(C108:E108)/O108</f>
        <v>0.18032189880987948</v>
      </c>
      <c r="F109" s="62">
        <f>SUM(C108:F108)/O108</f>
        <v>0.1982358151868148</v>
      </c>
      <c r="G109" s="62">
        <f>SUM(C108:G108)/O108</f>
        <v>0.21725701057608154</v>
      </c>
      <c r="H109" s="62">
        <f>SUM(C108:H108)/O108</f>
        <v>0.36097219680381837</v>
      </c>
      <c r="I109" s="62">
        <f>SUM(C108:I108)/O108</f>
        <v>0.54157325010697477</v>
      </c>
      <c r="J109" s="62">
        <f>SUM(C108:J108)/O108</f>
        <v>0.71878776205555628</v>
      </c>
      <c r="K109" s="62">
        <f>SUM(C108:K108)/O108</f>
        <v>0.88112097749224394</v>
      </c>
      <c r="L109" s="62">
        <f>SUM(C108:L108)/O108</f>
        <v>0.93854793660536429</v>
      </c>
      <c r="M109" s="62">
        <f>SUM(C108:M108)/O108</f>
        <v>0.96152581681084892</v>
      </c>
      <c r="N109" s="62">
        <f>SUM(C108:N108)/O108</f>
        <v>1</v>
      </c>
      <c r="O109" s="50"/>
    </row>
    <row r="110" spans="1:15" x14ac:dyDescent="0.2">
      <c r="A110" s="47" t="s">
        <v>36</v>
      </c>
      <c r="B110" s="48"/>
      <c r="C110" s="50">
        <v>726465.45</v>
      </c>
      <c r="D110" s="50">
        <v>973679.14</v>
      </c>
      <c r="E110" s="50">
        <v>379849.11</v>
      </c>
      <c r="F110" s="50">
        <v>232426.88</v>
      </c>
      <c r="G110" s="50">
        <v>247085.42</v>
      </c>
      <c r="H110" s="50">
        <v>1591709.36</v>
      </c>
      <c r="I110" s="50">
        <f>C97</f>
        <v>1561522.76</v>
      </c>
      <c r="J110" s="50">
        <f>D97</f>
        <v>1477336.19</v>
      </c>
      <c r="K110" s="50">
        <v>1028557.53</v>
      </c>
      <c r="L110" s="50">
        <v>774003.47</v>
      </c>
      <c r="M110" s="50">
        <v>299287.25</v>
      </c>
      <c r="N110" s="50">
        <v>364787.45</v>
      </c>
      <c r="O110" s="50">
        <f>SUM(C110:N110)</f>
        <v>9656710.0099999979</v>
      </c>
    </row>
    <row r="111" spans="1:15" x14ac:dyDescent="0.2">
      <c r="A111" s="47" t="s">
        <v>40</v>
      </c>
      <c r="B111" s="48"/>
      <c r="C111" s="62">
        <f>C110/O110</f>
        <v>7.5229084154718254E-2</v>
      </c>
      <c r="D111" s="62">
        <f>SUM(C110:D110)/O110</f>
        <v>0.17605836648707651</v>
      </c>
      <c r="E111" s="62">
        <f>SUM(C110:E110)/O110</f>
        <v>0.21539361727193465</v>
      </c>
      <c r="F111" s="62">
        <f>SUM(C110:F110)/O110</f>
        <v>0.23946256826656018</v>
      </c>
      <c r="G111" s="62">
        <f>SUM(C110:G110)/O110</f>
        <v>0.26504948345238755</v>
      </c>
      <c r="H111" s="62">
        <f>SUM(C110:H110)/O110</f>
        <v>0.42987884649132174</v>
      </c>
      <c r="I111" s="62">
        <f>SUM(C110:I110)/O110</f>
        <v>0.59158223805873611</v>
      </c>
      <c r="J111" s="62">
        <f>SUM(C110:J110)/O110</f>
        <v>0.74456769464489703</v>
      </c>
      <c r="K111" s="62">
        <f>SUM(C110:K110)/O110</f>
        <v>0.85107990521504751</v>
      </c>
      <c r="L111" s="62">
        <f>SUM(C110:L110)/O110</f>
        <v>0.93123178605215262</v>
      </c>
      <c r="M111" s="62">
        <f>SUM(C110:M110)/O110</f>
        <v>0.96222445847268434</v>
      </c>
      <c r="N111" s="62">
        <f>SUM(C110:N110)/O110</f>
        <v>1</v>
      </c>
      <c r="O111" s="50"/>
    </row>
    <row r="112" spans="1:15" x14ac:dyDescent="0.2">
      <c r="A112" s="47" t="s">
        <v>37</v>
      </c>
      <c r="B112" s="48"/>
      <c r="C112" s="50">
        <v>745522.17</v>
      </c>
      <c r="D112" s="50">
        <v>866043.55</v>
      </c>
      <c r="E112" s="50">
        <v>421312.5</v>
      </c>
      <c r="F112" s="50">
        <v>210599</v>
      </c>
      <c r="G112" s="50">
        <v>207988.77</v>
      </c>
      <c r="H112" s="50">
        <v>1735454.1</v>
      </c>
      <c r="I112" s="50">
        <v>1680850.54</v>
      </c>
      <c r="J112" s="50">
        <v>1687536.27</v>
      </c>
      <c r="K112" s="50">
        <v>1263037.6100000001</v>
      </c>
      <c r="L112" s="50">
        <v>971363.09</v>
      </c>
      <c r="M112" s="50">
        <v>303666.59999999998</v>
      </c>
      <c r="N112" s="50">
        <v>383274.03</v>
      </c>
      <c r="O112" s="50">
        <f>SUM(C112:N112)</f>
        <v>10476648.229999999</v>
      </c>
    </row>
    <row r="113" spans="1:17" x14ac:dyDescent="0.2">
      <c r="A113" s="47" t="s">
        <v>40</v>
      </c>
      <c r="B113" s="48"/>
      <c r="C113" s="62">
        <f>C112/O112</f>
        <v>7.1160370533887837E-2</v>
      </c>
      <c r="D113" s="62">
        <f>SUM(C112:D112)/O112</f>
        <v>0.1538245519578737</v>
      </c>
      <c r="E113" s="62">
        <f>SUM(C112:E112)/O112</f>
        <v>0.19403898798270527</v>
      </c>
      <c r="F113" s="62">
        <f>SUM(C112:F112)/O112</f>
        <v>0.21414074146116488</v>
      </c>
      <c r="G113" s="62">
        <f>SUM(C112:G112)/O112</f>
        <v>0.23399334750786041</v>
      </c>
      <c r="H113" s="62">
        <f>SUM(C112:H112)/O112</f>
        <v>0.39964309176771901</v>
      </c>
      <c r="I113" s="62">
        <f>SUM(C112:I112)/O112</f>
        <v>0.56008090576121228</v>
      </c>
      <c r="J113" s="62">
        <f>SUM(C112:J112)/O112</f>
        <v>0.72115687518888871</v>
      </c>
      <c r="K113" s="62">
        <f>SUM(C112:K112)/O112</f>
        <v>0.8417142884256219</v>
      </c>
      <c r="L113" s="62">
        <f>SUM(C112:L112)/O112</f>
        <v>0.93443125941434813</v>
      </c>
      <c r="M113" s="62">
        <f>SUM(C112:M112)/O112</f>
        <v>0.96341635019275629</v>
      </c>
      <c r="N113" s="62">
        <f>SUM(C112:N112)/O112</f>
        <v>1</v>
      </c>
      <c r="O113" s="50"/>
    </row>
    <row r="114" spans="1:17" x14ac:dyDescent="0.2">
      <c r="A114" s="47" t="s">
        <v>38</v>
      </c>
      <c r="B114" s="48"/>
      <c r="C114" s="50">
        <v>833692</v>
      </c>
      <c r="D114" s="50">
        <v>934572.21</v>
      </c>
      <c r="E114" s="50">
        <v>471581.19</v>
      </c>
      <c r="F114" s="50">
        <v>229609.13</v>
      </c>
      <c r="G114" s="50">
        <v>302313.64</v>
      </c>
      <c r="H114" s="50">
        <v>1948907.85</v>
      </c>
      <c r="I114" s="50">
        <v>1685322.24</v>
      </c>
      <c r="J114" s="50">
        <v>1672808.62</v>
      </c>
      <c r="K114" s="50">
        <v>1338133.24</v>
      </c>
      <c r="L114" s="50">
        <v>985285.21</v>
      </c>
      <c r="M114" s="50">
        <v>355832.54</v>
      </c>
      <c r="N114" s="50">
        <v>451079.81</v>
      </c>
      <c r="O114" s="50">
        <f>SUM(C114:N114)</f>
        <v>11209137.679999998</v>
      </c>
    </row>
    <row r="115" spans="1:17" x14ac:dyDescent="0.2">
      <c r="A115" s="47" t="s">
        <v>40</v>
      </c>
      <c r="B115" s="48"/>
      <c r="C115" s="62">
        <f>C114/O114</f>
        <v>7.4376104906581905E-2</v>
      </c>
      <c r="D115" s="62">
        <f>SUM(C114:D114)/O114</f>
        <v>0.15775202878942604</v>
      </c>
      <c r="E115" s="62">
        <f>SUM(C114:E114)/O114</f>
        <v>0.19982316784247051</v>
      </c>
      <c r="F115" s="62">
        <f>SUM(C114:F114)/O114</f>
        <v>0.22030727077303597</v>
      </c>
      <c r="G115" s="62">
        <f>SUM(C114:G114)/O114</f>
        <v>0.24727755596628559</v>
      </c>
      <c r="H115" s="62">
        <f>SUM(C114:H114)/O114</f>
        <v>0.42114533292091749</v>
      </c>
      <c r="I115" s="62">
        <f>SUM(C114:I114)/O114</f>
        <v>0.5714978656591897</v>
      </c>
      <c r="J115" s="62">
        <f>SUM(C114:J114)/O114</f>
        <v>0.7207340217093311</v>
      </c>
      <c r="K115" s="62">
        <f>SUM(C114:K114)/O114</f>
        <v>0.84011280696482626</v>
      </c>
      <c r="L115" s="62">
        <f>SUM(C114:L114)/O114</f>
        <v>0.92801298609796368</v>
      </c>
      <c r="M115" s="62">
        <f>SUM(C114:M114)/O114</f>
        <v>0.95975784909798689</v>
      </c>
      <c r="N115" s="62">
        <f>SUM(C114:N114)/O114</f>
        <v>1</v>
      </c>
      <c r="O115" s="50"/>
      <c r="Q115" s="68"/>
    </row>
    <row r="116" spans="1:17" x14ac:dyDescent="0.2">
      <c r="A116" s="47" t="s">
        <v>44</v>
      </c>
      <c r="B116" s="48"/>
      <c r="C116" s="50">
        <v>947458.89</v>
      </c>
      <c r="D116" s="50">
        <v>1061626.76</v>
      </c>
      <c r="E116" s="50">
        <v>566992.76</v>
      </c>
      <c r="F116" s="50">
        <v>276435.73</v>
      </c>
      <c r="G116" s="50">
        <v>314243.74</v>
      </c>
      <c r="H116" s="50">
        <v>1666408.14</v>
      </c>
      <c r="I116" s="50">
        <v>1042470.33</v>
      </c>
      <c r="J116" s="50">
        <v>1213076.25</v>
      </c>
      <c r="K116" s="50">
        <v>1193988.1100000001</v>
      </c>
      <c r="L116" s="50">
        <v>753997.99</v>
      </c>
      <c r="M116" s="50">
        <v>307818.40999999997</v>
      </c>
      <c r="N116" s="50">
        <v>536020.42000000004</v>
      </c>
      <c r="O116" s="50">
        <f>SUM(C116:N116)</f>
        <v>9880537.5299999993</v>
      </c>
    </row>
    <row r="117" spans="1:17" x14ac:dyDescent="0.2">
      <c r="A117" s="47" t="s">
        <v>40</v>
      </c>
      <c r="B117" s="48"/>
      <c r="C117" s="62">
        <f>C116/O116</f>
        <v>9.5891431728613669E-2</v>
      </c>
      <c r="D117" s="62">
        <f>SUM(C116:D116)/O116</f>
        <v>0.20333768723613158</v>
      </c>
      <c r="E117" s="62">
        <f>SUM(C116:E116)/O116</f>
        <v>0.26072249633973105</v>
      </c>
      <c r="F117" s="62">
        <f>SUM(C116:F116)/O116</f>
        <v>0.28870029908180517</v>
      </c>
      <c r="G117" s="62">
        <f>SUM(C116:G116)/O116</f>
        <v>0.32050461529900187</v>
      </c>
      <c r="H117" s="62">
        <f>SUM(C116:H116)/O116</f>
        <v>0.48916023094140304</v>
      </c>
      <c r="I117" s="62">
        <f>SUM(C116:I116)/O116</f>
        <v>0.59466768201223563</v>
      </c>
      <c r="J117" s="62">
        <f>SUM(C116:J116)/O116</f>
        <v>0.71744199933219621</v>
      </c>
      <c r="K117" s="62">
        <f>SUM(C116:K116)/O116</f>
        <v>0.83828442378276158</v>
      </c>
      <c r="L117" s="62">
        <f>SUM(C116:L116)/O116</f>
        <v>0.91459585802514531</v>
      </c>
      <c r="M117" s="62">
        <f>SUM(C116:M116)/O116</f>
        <v>0.94574987257803578</v>
      </c>
      <c r="N117" s="62">
        <f>SUM(C116:N116)/O116</f>
        <v>1</v>
      </c>
      <c r="O117" s="50"/>
    </row>
    <row r="118" spans="1:17" x14ac:dyDescent="0.2">
      <c r="A118" s="47" t="s">
        <v>45</v>
      </c>
      <c r="B118" s="48"/>
      <c r="C118" s="50">
        <v>1035275.97</v>
      </c>
      <c r="D118" s="50">
        <v>1101554.53</v>
      </c>
      <c r="E118" s="50">
        <v>569118.23</v>
      </c>
      <c r="F118" s="50">
        <v>287742.45</v>
      </c>
      <c r="G118" s="50">
        <v>286349.21000000002</v>
      </c>
      <c r="H118" s="50">
        <v>1758887.41</v>
      </c>
      <c r="I118" s="73">
        <v>1856579.21</v>
      </c>
      <c r="J118" s="50">
        <v>1703985.21</v>
      </c>
      <c r="K118" s="50">
        <v>1426186.33</v>
      </c>
      <c r="L118" s="50">
        <v>683195.8</v>
      </c>
      <c r="M118" s="50">
        <v>392989.71</v>
      </c>
      <c r="N118" s="50">
        <v>613158.80000000005</v>
      </c>
      <c r="O118" s="50">
        <f>SUM(C118:N118)</f>
        <v>11715022.860000001</v>
      </c>
    </row>
    <row r="119" spans="1:17" x14ac:dyDescent="0.2">
      <c r="A119" s="47" t="s">
        <v>40</v>
      </c>
      <c r="B119" s="48"/>
      <c r="C119" s="62">
        <f>C118/O118</f>
        <v>8.8371655981557329E-2</v>
      </c>
      <c r="D119" s="62">
        <f>SUM(C118:D118)/O118</f>
        <v>0.18240088180246194</v>
      </c>
      <c r="E119" s="62">
        <f>SUM(C118:E118)/O118</f>
        <v>0.23098108832883657</v>
      </c>
      <c r="F119" s="62">
        <f>SUM(C118:F118)/O118</f>
        <v>0.2555429226025428</v>
      </c>
      <c r="G119" s="62">
        <f>SUM(C118:G118)/O118</f>
        <v>0.27998582923806603</v>
      </c>
      <c r="H119" s="62">
        <f>SUM(C118:H118)/O118</f>
        <v>0.43012530664408788</v>
      </c>
      <c r="I119" s="62">
        <f>SUM(C118:I118)/O118</f>
        <v>0.5886038032024804</v>
      </c>
      <c r="J119" s="62">
        <f>SUM(C118:J118)/O118</f>
        <v>0.73405680234413118</v>
      </c>
      <c r="K119" s="62">
        <f>SUM(C118:K118)/O118</f>
        <v>0.85579675514179898</v>
      </c>
      <c r="L119" s="62">
        <f>SUM(C118:L118)/O118</f>
        <v>0.91411467804852398</v>
      </c>
      <c r="M119" s="62">
        <f>SUM(C118:M118)/O118</f>
        <v>0.94766046918324143</v>
      </c>
      <c r="N119" s="62">
        <f>SUM(C118:N118)/O118</f>
        <v>1</v>
      </c>
      <c r="O119" s="50"/>
    </row>
    <row r="120" spans="1:17" x14ac:dyDescent="0.2">
      <c r="A120" s="47" t="s">
        <v>56</v>
      </c>
      <c r="B120" s="48"/>
      <c r="C120" s="50">
        <f>1076707.67-1442.38-242.12</f>
        <v>1075023.17</v>
      </c>
      <c r="D120" s="50">
        <f>1135701.37-858.57-143.81</f>
        <v>1134698.99</v>
      </c>
      <c r="E120" s="50">
        <f>538923.69-472.8-4661.37</f>
        <v>533789.5199999999</v>
      </c>
      <c r="F120" s="50">
        <f>306615.06-639.8+383.52</f>
        <v>306358.78000000003</v>
      </c>
      <c r="G120" s="50">
        <f>318981.38-1039.99-178.03</f>
        <v>317763.36</v>
      </c>
      <c r="H120" s="50">
        <f>1625057.05-3906.54-660.78</f>
        <v>1620489.73</v>
      </c>
      <c r="I120" s="73">
        <f>1295914.91-11613.04-276.33</f>
        <v>1284025.5399999998</v>
      </c>
      <c r="J120" s="50">
        <f>1177698.5-2455.56-292.53</f>
        <v>1174950.4099999999</v>
      </c>
      <c r="K120" s="50">
        <f>1213565.59-7292.61-768.54</f>
        <v>1205504.44</v>
      </c>
      <c r="L120" s="73">
        <f>-2029.23-218.69+664779.27</f>
        <v>662531.35</v>
      </c>
      <c r="M120" s="73">
        <f>-2247.35-331.58+378598.2</f>
        <v>376019.27</v>
      </c>
      <c r="N120" s="73">
        <f>-4285.84-529.37+676918.71</f>
        <v>672103.5</v>
      </c>
      <c r="O120" s="50">
        <f>SUM(C120:N120)</f>
        <v>10363258.059999999</v>
      </c>
    </row>
    <row r="121" spans="1:17" x14ac:dyDescent="0.2">
      <c r="A121" s="47" t="s">
        <v>40</v>
      </c>
      <c r="B121" s="48"/>
      <c r="C121" s="62">
        <f>C120/O120</f>
        <v>0.10373409248095092</v>
      </c>
      <c r="D121" s="62">
        <f>SUM(C120:D120)/O120</f>
        <v>0.21322658831869332</v>
      </c>
      <c r="E121" s="62">
        <f>SUM(C120:E120)/O120</f>
        <v>0.26473447482596035</v>
      </c>
      <c r="F121" s="62">
        <f>SUM(C120:F120)/O120</f>
        <v>0.29429648883991993</v>
      </c>
      <c r="G121" s="62">
        <f>SUM(C120:G120)/O120</f>
        <v>0.32495898495458292</v>
      </c>
      <c r="H121" s="62">
        <f>SUM(C120:H120)/O120</f>
        <v>0.48132773700320269</v>
      </c>
      <c r="I121" s="62">
        <f>SUM(C120:I120)/O120</f>
        <v>0.60522946101373076</v>
      </c>
      <c r="J121" s="62">
        <f>SUM(C120:J120)/O120</f>
        <v>0.71860600757827708</v>
      </c>
      <c r="K121" s="62">
        <f>SUM(C120:K120)/O120</f>
        <v>0.83493085764188724</v>
      </c>
      <c r="L121" s="62">
        <f>SUM(C120:L120)/O120</f>
        <v>0.89886165490314929</v>
      </c>
      <c r="M121" s="62">
        <f>SUM(C120:M120)/O120</f>
        <v>0.93514554051354004</v>
      </c>
      <c r="N121" s="62">
        <f>SUM(C120:N120)/O120</f>
        <v>1</v>
      </c>
      <c r="O121" s="50"/>
    </row>
    <row r="122" spans="1:17" x14ac:dyDescent="0.2">
      <c r="A122" s="71" t="s">
        <v>70</v>
      </c>
      <c r="B122" s="48"/>
      <c r="C122" s="50">
        <f>+[1]TOT!$C$122</f>
        <v>1175232.43</v>
      </c>
      <c r="D122" s="50">
        <f>+[1]TOT!$D$122</f>
        <v>1261290.44</v>
      </c>
      <c r="E122" s="50">
        <f>+[1]TOT!$E$122</f>
        <v>614628.1</v>
      </c>
      <c r="F122" s="50">
        <f>+[1]TOT!$F$122</f>
        <v>378295.73</v>
      </c>
      <c r="G122" s="99">
        <f>+[1]TOT!$G$122</f>
        <v>326835.57</v>
      </c>
      <c r="H122" s="50">
        <f>+[1]TOT!$H$122</f>
        <v>1815044.3599999999</v>
      </c>
      <c r="I122" s="50">
        <v>1659853.51</v>
      </c>
      <c r="J122" s="50">
        <v>1451851.16</v>
      </c>
      <c r="K122" s="50">
        <v>1015506.64</v>
      </c>
      <c r="L122" s="50">
        <v>459664</v>
      </c>
      <c r="M122" s="50">
        <v>377563.52</v>
      </c>
      <c r="N122" s="50">
        <v>773231.64</v>
      </c>
      <c r="O122" s="50">
        <f>SUM(C122:N122)</f>
        <v>11308997.1</v>
      </c>
      <c r="Q122" s="95"/>
    </row>
    <row r="123" spans="1:17" x14ac:dyDescent="0.2">
      <c r="A123" s="47" t="s">
        <v>40</v>
      </c>
      <c r="B123" s="48"/>
      <c r="C123" s="62">
        <f>C122/O122</f>
        <v>0.10392012833746327</v>
      </c>
      <c r="D123" s="62">
        <f>SUM(C122:D122)/O122</f>
        <v>0.21544995090678731</v>
      </c>
      <c r="E123" s="62">
        <f>SUM(C122:E122)/O122</f>
        <v>0.2697985456199295</v>
      </c>
      <c r="F123" s="62">
        <f>SUM(C122:F122)/O122</f>
        <v>0.3032494101532664</v>
      </c>
      <c r="G123" s="62">
        <f>SUM(C122:G122)/O122</f>
        <v>0.33214990124986415</v>
      </c>
      <c r="H123" s="62">
        <f>SUM(C122:H122)/O122</f>
        <v>0.49264550876929664</v>
      </c>
      <c r="I123" s="62">
        <f>SUM(C122:I122)/O122</f>
        <v>0.63941833887286081</v>
      </c>
      <c r="J123" s="62">
        <f>SUM(C122:J122)/O122</f>
        <v>0.7677985256535258</v>
      </c>
      <c r="K123" s="62">
        <f>SUM(C122:K122)/O122</f>
        <v>0.85759487373111098</v>
      </c>
      <c r="L123" s="62">
        <f>SUM(C122:L122)/O122</f>
        <v>0.89824074143586086</v>
      </c>
      <c r="M123" s="62">
        <f>SUM(C122:M122)/O122</f>
        <v>0.9316268601748956</v>
      </c>
      <c r="N123" s="62">
        <f>SUM(C122:N122)/O122</f>
        <v>1</v>
      </c>
      <c r="O123" s="50"/>
      <c r="Q123" s="1"/>
    </row>
    <row r="124" spans="1:17" x14ac:dyDescent="0.2">
      <c r="A124" s="74" t="s">
        <v>71</v>
      </c>
      <c r="C124" s="50">
        <v>1414925</v>
      </c>
      <c r="D124" s="50">
        <v>1323904</v>
      </c>
      <c r="E124" s="50">
        <v>782030</v>
      </c>
      <c r="F124" s="50">
        <v>470450</v>
      </c>
      <c r="G124" s="50">
        <v>589215</v>
      </c>
      <c r="H124" s="50">
        <v>2282316.73</v>
      </c>
      <c r="I124" s="50">
        <v>2371825.7400000002</v>
      </c>
      <c r="J124" s="50">
        <v>2238589.91</v>
      </c>
      <c r="K124" s="50">
        <v>1897370.86</v>
      </c>
      <c r="L124" s="73">
        <v>830614.04</v>
      </c>
      <c r="M124" s="73">
        <v>526861.43000000005</v>
      </c>
      <c r="N124" s="112">
        <v>1005404.05</v>
      </c>
      <c r="O124" s="50">
        <f>SUM(C124:N124)</f>
        <v>15733506.760000002</v>
      </c>
      <c r="Q124" s="1"/>
    </row>
    <row r="125" spans="1:17" x14ac:dyDescent="0.2">
      <c r="A125" s="47" t="s">
        <v>40</v>
      </c>
      <c r="C125" s="62">
        <f>C124/O124</f>
        <v>8.993068243357083E-2</v>
      </c>
      <c r="D125" s="62">
        <f>SUM(C124:D124)/O124</f>
        <v>0.17407619558552881</v>
      </c>
      <c r="E125" s="62">
        <f>SUM(C124:E124)/O124</f>
        <v>0.22378094430615034</v>
      </c>
      <c r="F125" s="62">
        <f>SUM(C124:F124)/O124</f>
        <v>0.25368209776013084</v>
      </c>
      <c r="G125" s="62">
        <f>SUM(C124:G124)/O124</f>
        <v>0.29113179088881008</v>
      </c>
      <c r="H125" s="62">
        <f>SUM(C124:H124)/O124</f>
        <v>0.43619269592508819</v>
      </c>
      <c r="I125" s="62">
        <f>SUM(C124:I124)/O124</f>
        <v>0.58694267024295599</v>
      </c>
      <c r="J125" s="62">
        <f>SUM(C124:J124)/O124</f>
        <v>0.72922435888030845</v>
      </c>
      <c r="K125" s="62">
        <f>SUM(C124:K124)/O124</f>
        <v>0.84981863509238409</v>
      </c>
      <c r="L125" s="62">
        <f>SUM(C124:L124)/O124</f>
        <v>0.90261131841913667</v>
      </c>
      <c r="M125" s="62">
        <f>SUM(C124:M124)/O124</f>
        <v>0.93609790459708042</v>
      </c>
      <c r="N125" s="62">
        <f>SUM(C124:N124)/O124</f>
        <v>1</v>
      </c>
      <c r="O125" s="50"/>
      <c r="Q125" s="1"/>
    </row>
    <row r="126" spans="1:17" x14ac:dyDescent="0.2">
      <c r="A126" s="74" t="s">
        <v>72</v>
      </c>
      <c r="C126" s="50">
        <v>1716610.25</v>
      </c>
      <c r="D126" s="50">
        <v>1535475.13</v>
      </c>
      <c r="E126" s="50">
        <v>1004814.64</v>
      </c>
      <c r="F126" s="50">
        <v>567405.4</v>
      </c>
      <c r="G126" s="50">
        <v>534222.96</v>
      </c>
      <c r="H126" s="50">
        <v>2370977.54</v>
      </c>
      <c r="I126" s="50">
        <v>2656510.39</v>
      </c>
      <c r="J126" s="50">
        <v>2475292.33</v>
      </c>
      <c r="K126" s="50">
        <v>2030473.16</v>
      </c>
      <c r="L126" s="73">
        <v>1599673.13</v>
      </c>
      <c r="M126" s="73">
        <v>673511.7</v>
      </c>
      <c r="N126" s="73">
        <v>926497.07</v>
      </c>
      <c r="O126" s="99">
        <f>SUM(C126:N126)</f>
        <v>18091463.699999999</v>
      </c>
      <c r="Q126" s="1"/>
    </row>
    <row r="127" spans="1:17" x14ac:dyDescent="0.2">
      <c r="A127" s="47" t="s">
        <v>40</v>
      </c>
      <c r="C127" s="62">
        <f>C126/O126</f>
        <v>9.4885094896992775E-2</v>
      </c>
      <c r="D127" s="62">
        <f>SUM(C126:D126)/O126</f>
        <v>0.17975800266509115</v>
      </c>
      <c r="E127" s="62">
        <f>SUM(C126:E126)/O126</f>
        <v>0.23529881775126907</v>
      </c>
      <c r="F127" s="62">
        <f>SUM(C126:F126)/O126</f>
        <v>0.26666197384570933</v>
      </c>
      <c r="G127" s="62">
        <f>SUM(C126:G126)/O126</f>
        <v>0.29619098094312846</v>
      </c>
      <c r="H127" s="62">
        <f>SUM(C126:H126)/O126</f>
        <v>0.42724602321701588</v>
      </c>
      <c r="I127" s="62">
        <f>SUM(C126:I126)/O126</f>
        <v>0.57408380450720531</v>
      </c>
      <c r="J127" s="62">
        <f>SUM(C126:J126)/O126</f>
        <v>0.71090481418593021</v>
      </c>
      <c r="K127" s="62">
        <f>SUM(C126:K126)/O126</f>
        <v>0.82313858330876799</v>
      </c>
      <c r="L127" s="62">
        <f>SUM(C126:L126)/O126</f>
        <v>0.91156001545635035</v>
      </c>
      <c r="M127" s="62">
        <f>SUM(C126:M126)/O126</f>
        <v>0.94878816411079003</v>
      </c>
      <c r="N127" s="62">
        <f>SUM(C126:N126)/O126</f>
        <v>1</v>
      </c>
      <c r="O127" s="50"/>
      <c r="Q127" s="1"/>
    </row>
    <row r="128" spans="1:17" x14ac:dyDescent="0.2">
      <c r="A128" s="74" t="s">
        <v>74</v>
      </c>
      <c r="C128" s="50">
        <v>1753735.47</v>
      </c>
      <c r="D128" s="50">
        <v>1570110.42</v>
      </c>
      <c r="E128" s="50">
        <v>1050037.27</v>
      </c>
      <c r="F128" s="50">
        <v>612876.75</v>
      </c>
      <c r="G128" s="50">
        <v>601343.39</v>
      </c>
      <c r="H128" s="50">
        <v>2362405.33</v>
      </c>
      <c r="I128" s="73">
        <v>2515664.6800000002</v>
      </c>
      <c r="J128" s="50">
        <v>2168213.75</v>
      </c>
      <c r="K128" s="73">
        <v>2351036.08</v>
      </c>
      <c r="L128" s="73">
        <v>1242481.68</v>
      </c>
      <c r="M128" s="73">
        <v>608462.69999999995</v>
      </c>
      <c r="N128" s="112">
        <v>1031033.03</v>
      </c>
      <c r="O128" s="50">
        <f>SUM(C128:N128)</f>
        <v>17867400.550000001</v>
      </c>
      <c r="Q128" s="1"/>
    </row>
    <row r="129" spans="1:17" x14ac:dyDescent="0.2">
      <c r="A129" s="114" t="s">
        <v>40</v>
      </c>
      <c r="C129" s="115">
        <f>C128/O128</f>
        <v>9.8152804326088722E-2</v>
      </c>
      <c r="D129" s="115">
        <f>SUM(C128:D128)/O128</f>
        <v>0.18602850933456011</v>
      </c>
      <c r="E129" s="115">
        <f>SUM(C128:E128)/O128</f>
        <v>0.24479683811644329</v>
      </c>
      <c r="F129" s="115">
        <f>SUM(C128:F128)/O128</f>
        <v>0.27909823233911885</v>
      </c>
      <c r="G129" s="115">
        <f>SUM(C128:G128)/O128</f>
        <v>0.312754129195363</v>
      </c>
      <c r="H129" s="115">
        <f>SUM(C128:H128)/O128</f>
        <v>0.44497287715419798</v>
      </c>
      <c r="I129" s="115">
        <f>SUM(C128:I128)/O128</f>
        <v>0.58576922147749133</v>
      </c>
      <c r="J129" s="115">
        <f>SUM(C128:J128)/O128</f>
        <v>0.7071194841490247</v>
      </c>
      <c r="K129" s="115">
        <f>SUM(C128:K128)/O128</f>
        <v>0.83870191962534812</v>
      </c>
      <c r="L129" s="115">
        <f>SUM(C128:L128)/O128</f>
        <v>0.90824094834544911</v>
      </c>
      <c r="M129" s="115">
        <f>SUM(C128:M128)/O128</f>
        <v>0.94229529767831832</v>
      </c>
      <c r="N129" s="115">
        <f>SUM(C128:N128)/O128</f>
        <v>1</v>
      </c>
      <c r="O129" s="116"/>
      <c r="Q129" s="1"/>
    </row>
    <row r="130" spans="1:17" x14ac:dyDescent="0.2">
      <c r="A130" s="47" t="s">
        <v>83</v>
      </c>
      <c r="B130" s="48"/>
      <c r="C130" s="50">
        <v>1771072.48</v>
      </c>
      <c r="D130" s="50">
        <v>1512890.94</v>
      </c>
      <c r="E130" s="50">
        <v>1001296.74</v>
      </c>
      <c r="F130" s="50">
        <v>635579.84</v>
      </c>
      <c r="G130" s="50">
        <v>591547.9</v>
      </c>
      <c r="H130" s="99">
        <v>2665866.9900000002</v>
      </c>
      <c r="I130" s="73">
        <v>3074472.47</v>
      </c>
      <c r="J130" s="50">
        <v>2724479.71</v>
      </c>
      <c r="K130" s="73">
        <v>2604882</v>
      </c>
      <c r="L130" s="73">
        <v>1755829.57</v>
      </c>
      <c r="M130" s="73">
        <v>774267.9</v>
      </c>
      <c r="N130" s="73">
        <v>1098873.96</v>
      </c>
      <c r="O130" s="50">
        <f>SUM(C130:N130)</f>
        <v>20211060.5</v>
      </c>
      <c r="Q130" s="1"/>
    </row>
    <row r="131" spans="1:17" x14ac:dyDescent="0.2">
      <c r="A131" s="47" t="s">
        <v>40</v>
      </c>
      <c r="B131" s="48"/>
      <c r="C131" s="62">
        <f>SUM(C130:C130)/O130</f>
        <v>8.7628874298802881E-2</v>
      </c>
      <c r="D131" s="62">
        <f>SUM(C130:D130)/O130</f>
        <v>0.16248347878628139</v>
      </c>
      <c r="E131" s="62">
        <f>SUM(C130:E130)/O130</f>
        <v>0.21202549762294759</v>
      </c>
      <c r="F131" s="62">
        <f>SUM(C130:F130)/O130</f>
        <v>0.24347262727752461</v>
      </c>
      <c r="G131" s="62">
        <f>SUM(C130:G130)/O130</f>
        <v>0.27274115081690048</v>
      </c>
      <c r="H131" s="62">
        <f>SUM(C130:H130)/O130</f>
        <v>0.4046425416419886</v>
      </c>
      <c r="I131" s="62">
        <f>SUM(C130:I130)/O130</f>
        <v>0.55676085675959464</v>
      </c>
      <c r="J131" s="62">
        <f>SUM(C130:J130)/O130</f>
        <v>0.69156227947563664</v>
      </c>
      <c r="K131" s="62">
        <f>SUM(C130:K130)/O130</f>
        <v>0.82044626356939554</v>
      </c>
      <c r="L131" s="62">
        <f>SUM(C130:L130)/O130</f>
        <v>0.90732095131772039</v>
      </c>
      <c r="M131" s="62">
        <f>SUM(C130:M130)/O130</f>
        <v>0.94563006923857351</v>
      </c>
      <c r="N131" s="62">
        <f>SUM(C130:N130)/O130</f>
        <v>1</v>
      </c>
      <c r="O131" s="50"/>
      <c r="Q131" s="1"/>
    </row>
    <row r="132" spans="1:17" x14ac:dyDescent="0.2">
      <c r="A132" s="47" t="s">
        <v>86</v>
      </c>
      <c r="B132" s="48"/>
      <c r="C132" s="124">
        <v>1893472.5</v>
      </c>
      <c r="D132" s="123">
        <v>1740321.74</v>
      </c>
      <c r="E132" s="123">
        <v>1068779.02</v>
      </c>
      <c r="F132" s="123">
        <v>747888.17</v>
      </c>
      <c r="G132" s="123">
        <v>629409.77</v>
      </c>
      <c r="H132" s="131">
        <v>2832606.71</v>
      </c>
      <c r="I132" s="123">
        <v>3113743.28</v>
      </c>
      <c r="J132" s="120">
        <v>2665842.31</v>
      </c>
      <c r="K132" s="120">
        <v>846250.79</v>
      </c>
      <c r="L132" s="120">
        <v>15748.2</v>
      </c>
      <c r="M132" s="120">
        <v>12528.52</v>
      </c>
      <c r="N132" s="120">
        <v>407657.21</v>
      </c>
      <c r="O132" s="50">
        <f t="shared" ref="O132" si="7">SUM(C132:N132)</f>
        <v>15974248.219999999</v>
      </c>
      <c r="Q132" s="1"/>
    </row>
    <row r="133" spans="1:17" x14ac:dyDescent="0.2">
      <c r="A133" s="47" t="s">
        <v>40</v>
      </c>
      <c r="C133" s="121">
        <f>SUM(C132:C132)/O132</f>
        <v>0.11853280817493145</v>
      </c>
      <c r="D133" s="121">
        <f>SUM(D132:D132)/O132</f>
        <v>0.10894545496176096</v>
      </c>
      <c r="E133" s="121">
        <f>SUM(E132:E132)/O132</f>
        <v>6.6906373638408387E-2</v>
      </c>
      <c r="F133" s="121">
        <f>SUM(F132:F132)/O132</f>
        <v>4.6818364138328142E-2</v>
      </c>
      <c r="G133" s="121">
        <f>SUM(G132:G132)/O132</f>
        <v>3.9401526840679081E-2</v>
      </c>
      <c r="H133" s="121">
        <f>SUM(H132:H132)/O132</f>
        <v>0.17732331881844265</v>
      </c>
      <c r="I133" s="121">
        <f>SUM(I132:I132)/O132</f>
        <v>0.19492268037387489</v>
      </c>
      <c r="J133" s="121">
        <f>SUM(J132:J132)/O132</f>
        <v>0.16688374146223203</v>
      </c>
      <c r="K133" s="121">
        <f>SUM(K132:K132)/O132</f>
        <v>5.2975938419466982E-2</v>
      </c>
      <c r="L133" s="121">
        <f>SUM(L132:L132)/O132</f>
        <v>9.8584921074927438E-4</v>
      </c>
      <c r="M133" s="121">
        <f>SUM(M132:M132)/O132</f>
        <v>7.8429481171540241E-4</v>
      </c>
      <c r="N133" s="121">
        <f>SUM(N132:N132)/O132</f>
        <v>2.5519649149410805E-2</v>
      </c>
      <c r="O133" s="50"/>
      <c r="Q133" s="1"/>
    </row>
    <row r="134" spans="1:17" x14ac:dyDescent="0.2">
      <c r="A134" s="47" t="s">
        <v>88</v>
      </c>
      <c r="C134" s="73">
        <v>1911690.16</v>
      </c>
      <c r="D134" s="73">
        <v>1899279.23</v>
      </c>
      <c r="E134" s="73">
        <v>661157.89</v>
      </c>
      <c r="F134" s="73">
        <v>676433.12</v>
      </c>
      <c r="G134" s="73">
        <v>965182.94</v>
      </c>
      <c r="H134" s="73">
        <v>295144.3</v>
      </c>
      <c r="I134" s="73">
        <v>717028.4</v>
      </c>
      <c r="J134" s="73">
        <v>2553571.71</v>
      </c>
      <c r="K134" s="50">
        <v>2639695.2400000002</v>
      </c>
      <c r="L134" s="50">
        <v>1758757.18</v>
      </c>
      <c r="M134" s="50">
        <v>902961.47</v>
      </c>
      <c r="N134" s="98">
        <v>1529442.3</v>
      </c>
      <c r="O134" s="50">
        <f>SUM(C134:N134)</f>
        <v>16510343.940000001</v>
      </c>
      <c r="Q134" s="1"/>
    </row>
    <row r="135" spans="1:17" x14ac:dyDescent="0.2">
      <c r="A135" s="47" t="s">
        <v>40</v>
      </c>
      <c r="C135" s="121">
        <f>SUM(C134:C134)/O134</f>
        <v>0.11578742193059363</v>
      </c>
      <c r="D135" s="121">
        <f>SUM(D134:D134)/O134</f>
        <v>0.11503571560363265</v>
      </c>
      <c r="E135" s="121">
        <f>SUM(E134:E134)/O134</f>
        <v>4.0045070678279275E-2</v>
      </c>
      <c r="F135" s="121">
        <f>SUM(F134:F134)/O134</f>
        <v>4.0970262185828207E-2</v>
      </c>
      <c r="G135" s="121">
        <f>SUM(G134:G134)/O134</f>
        <v>5.8459287311491338E-2</v>
      </c>
      <c r="H135" s="121">
        <f>SUM(H134:H134)/O134</f>
        <v>1.787632656670143E-2</v>
      </c>
      <c r="I135" s="121">
        <f>SUM(I134:I134)/O134</f>
        <v>4.3429040764125959E-2</v>
      </c>
      <c r="J135" s="121">
        <f>SUM(J134:J134)/O134</f>
        <v>0.154664961510184</v>
      </c>
      <c r="K135" s="121">
        <f>SUM(K134:K134)/O134</f>
        <v>0.15988129923839733</v>
      </c>
      <c r="L135" s="121">
        <f>SUM(L134:L134)/O134</f>
        <v>0.10652456341257781</v>
      </c>
      <c r="M135" s="121">
        <f>SUM(M134:M134)/O134</f>
        <v>5.4690651707889247E-2</v>
      </c>
      <c r="N135" s="121">
        <f>SUM(N134:N134)/O134</f>
        <v>9.2635399090299025E-2</v>
      </c>
      <c r="O135" s="50"/>
      <c r="Q135" s="1"/>
    </row>
    <row r="136" spans="1:17" x14ac:dyDescent="0.2">
      <c r="A136" s="29" t="s">
        <v>90</v>
      </c>
      <c r="C136" s="101">
        <v>2545344.36</v>
      </c>
      <c r="D136" s="73">
        <v>1885522.32</v>
      </c>
      <c r="E136" s="73">
        <v>830400.67</v>
      </c>
      <c r="F136" s="73">
        <v>867594.39</v>
      </c>
      <c r="G136" s="101">
        <v>1373610.45</v>
      </c>
      <c r="H136" s="73">
        <v>4005956.24</v>
      </c>
      <c r="I136" s="73">
        <v>4364764.5599999996</v>
      </c>
      <c r="J136" s="73">
        <v>3831273.65</v>
      </c>
      <c r="K136" s="73">
        <v>2996102.01</v>
      </c>
      <c r="L136" s="73">
        <v>1643020.97</v>
      </c>
      <c r="M136" s="73">
        <v>843555.61</v>
      </c>
      <c r="N136" s="73">
        <v>1481383.08</v>
      </c>
      <c r="O136" s="50">
        <f t="shared" ref="O136" si="8">SUM(C136:N136)</f>
        <v>26668528.309999995</v>
      </c>
      <c r="Q136" s="1"/>
    </row>
    <row r="137" spans="1:17" x14ac:dyDescent="0.2">
      <c r="A137" s="47" t="s">
        <v>40</v>
      </c>
      <c r="C137" s="121">
        <f>SUM(C136:C136)/O136</f>
        <v>9.5443750416687331E-2</v>
      </c>
      <c r="D137" s="121">
        <f>SUM(D136:D136)/O136</f>
        <v>7.0702151167935989E-2</v>
      </c>
      <c r="E137" s="121">
        <f>SUM(E136:E136)/O136</f>
        <v>3.1137851340998883E-2</v>
      </c>
      <c r="F137" s="121">
        <f>SUM(F136:F136)/O136</f>
        <v>3.2532518477019781E-2</v>
      </c>
      <c r="G137" s="121">
        <f>SUM(G136:G136)/O136</f>
        <v>5.1506796101865593E-2</v>
      </c>
      <c r="H137" s="121">
        <f>SUM(H136:H136)/O136</f>
        <v>0.15021287239528219</v>
      </c>
      <c r="I137" s="121">
        <f>SUM(I136:I136)/O136</f>
        <v>0.16366724512365866</v>
      </c>
      <c r="J137" s="121">
        <f>SUM(J136:J136)/O136</f>
        <v>0.14366273254618903</v>
      </c>
      <c r="K137" s="121">
        <f>SUM(K136:K136)/O136</f>
        <v>0.11234598231941208</v>
      </c>
      <c r="L137" s="121">
        <f>SUM(L136:L136)/O136</f>
        <v>6.1608985351618011E-2</v>
      </c>
      <c r="M137" s="121">
        <f>SUM(M136:M136)/O136</f>
        <v>3.1631127154612762E-2</v>
      </c>
      <c r="N137" s="121">
        <f>SUM(N136:N136)/O136</f>
        <v>5.5547987604719851E-2</v>
      </c>
      <c r="O137" s="50"/>
      <c r="Q137" s="1"/>
    </row>
    <row r="138" spans="1:17" x14ac:dyDescent="0.2">
      <c r="A138" s="29" t="s">
        <v>92</v>
      </c>
      <c r="C138" s="73">
        <v>2237227.42</v>
      </c>
      <c r="D138" s="73">
        <v>1762533.11</v>
      </c>
      <c r="E138" s="73">
        <v>1235431.22</v>
      </c>
      <c r="F138" s="73">
        <v>901598.65</v>
      </c>
      <c r="G138" s="73">
        <v>1359638.74</v>
      </c>
      <c r="H138" s="101">
        <v>4437213.07</v>
      </c>
      <c r="I138" s="101">
        <v>4894121.87</v>
      </c>
      <c r="J138" s="73">
        <v>4119721.14</v>
      </c>
      <c r="K138" s="73">
        <v>3237432.56</v>
      </c>
      <c r="L138" s="101">
        <v>2778354.33</v>
      </c>
      <c r="M138" s="101">
        <v>1292309.1000000001</v>
      </c>
      <c r="N138" s="73">
        <v>1265160.5900000001</v>
      </c>
      <c r="O138" s="98">
        <f>SUM(C138:N138)</f>
        <v>29520741.800000001</v>
      </c>
      <c r="Q138" s="1"/>
    </row>
    <row r="139" spans="1:17" x14ac:dyDescent="0.2">
      <c r="A139" s="47" t="s">
        <v>40</v>
      </c>
      <c r="C139" s="121">
        <f>SUM(C138:C138)/O138</f>
        <v>7.5784932342045683E-2</v>
      </c>
      <c r="D139" s="121">
        <f>SUM(D138:D138)/O138</f>
        <v>5.9704905857074365E-2</v>
      </c>
      <c r="E139" s="121">
        <f>SUM(E138:E138)/O138</f>
        <v>4.1849599456880854E-2</v>
      </c>
      <c r="F139" s="121">
        <f>SUM(F138:F138)/O138</f>
        <v>3.0541192227086924E-2</v>
      </c>
      <c r="G139" s="121">
        <f>SUM(G138:G138)/O138</f>
        <v>4.6057065544335335E-2</v>
      </c>
      <c r="H139" s="121">
        <f>SUM(H138:H138)/O138</f>
        <v>0.15030831881060658</v>
      </c>
      <c r="I139" s="121">
        <f>SUM(I138:I138)/O138</f>
        <v>0.16578587025885644</v>
      </c>
      <c r="J139" s="121">
        <f>SUM(J138:J138)/O138</f>
        <v>0.1395534423867357</v>
      </c>
      <c r="K139" s="121">
        <f>SUM(K138:K138)/O138</f>
        <v>0.10966636888507998</v>
      </c>
      <c r="L139" s="121">
        <f>SUM(L138:L138)/O138</f>
        <v>9.4115329107346477E-2</v>
      </c>
      <c r="M139" s="121">
        <f>SUM(M138:M138)/O138</f>
        <v>4.3776308493711363E-2</v>
      </c>
      <c r="N139" s="121">
        <f>SUM(N138:N138)/O138</f>
        <v>4.2856666630240306E-2</v>
      </c>
      <c r="O139" s="50"/>
      <c r="Q139" s="1"/>
    </row>
    <row r="140" spans="1:17" x14ac:dyDescent="0.2">
      <c r="A140" s="74" t="s">
        <v>96</v>
      </c>
      <c r="C140" s="137">
        <v>2187702.67</v>
      </c>
      <c r="D140" s="137">
        <v>1930666.76</v>
      </c>
      <c r="E140" s="138">
        <v>1444953.22</v>
      </c>
      <c r="F140" s="138">
        <v>1059538.08</v>
      </c>
      <c r="G140" s="137">
        <v>1017292.96</v>
      </c>
      <c r="H140" s="137">
        <v>3221048.59</v>
      </c>
      <c r="I140" s="137">
        <v>4089949.12</v>
      </c>
      <c r="J140" s="138">
        <v>4342251.3099999996</v>
      </c>
      <c r="K140" s="137">
        <v>3774158.02</v>
      </c>
      <c r="L140" s="137">
        <v>2171657.5699999998</v>
      </c>
      <c r="M140" s="137">
        <v>926667.25</v>
      </c>
      <c r="N140" s="137">
        <v>1257381.8500000001</v>
      </c>
      <c r="O140" s="50">
        <f>SUM(C140:N140)</f>
        <v>27423267.399999999</v>
      </c>
      <c r="Q140" s="1"/>
    </row>
    <row r="141" spans="1:17" x14ac:dyDescent="0.2">
      <c r="A141" s="47" t="s">
        <v>40</v>
      </c>
      <c r="C141" s="121">
        <f>SUM(C140:C140)/O140</f>
        <v>7.9775419831992739E-2</v>
      </c>
      <c r="D141" s="121">
        <f>SUM(D140:D140)/O140</f>
        <v>7.0402506449687319E-2</v>
      </c>
      <c r="E141" s="121">
        <f>SUM(E140:E140)/O140</f>
        <v>5.2690775279389208E-2</v>
      </c>
      <c r="F141" s="121">
        <f>SUM(F140:F140)/O140</f>
        <v>3.8636463866446494E-2</v>
      </c>
      <c r="G141" s="121">
        <f>SUM(G140:G140)/O140</f>
        <v>3.7095979306973462E-2</v>
      </c>
      <c r="H141" s="121">
        <f>SUM(H140:H140)/O140</f>
        <v>0.11745677650359053</v>
      </c>
      <c r="I141" s="121">
        <f>SUM(I140:I140)/O140</f>
        <v>0.14914156873954415</v>
      </c>
      <c r="J141" s="121">
        <f>SUM(J140:J140)/O140</f>
        <v>0.15834186520020585</v>
      </c>
      <c r="K141" s="121">
        <f>SUM(K140:K140)/O140</f>
        <v>0.1376261247410657</v>
      </c>
      <c r="L141" s="121">
        <f>SUM(L140:L140)/O140</f>
        <v>7.9190329085293457E-2</v>
      </c>
      <c r="M141" s="121">
        <f>SUM(M140:M140)/O140</f>
        <v>3.3791277913149037E-2</v>
      </c>
      <c r="N141" s="121">
        <f>SUM(N140:N140)/O140</f>
        <v>4.5850913082662065E-2</v>
      </c>
      <c r="O141" s="50"/>
      <c r="Q141" s="1"/>
    </row>
    <row r="142" spans="1:17" x14ac:dyDescent="0.2">
      <c r="A142" s="29" t="s">
        <v>100</v>
      </c>
      <c r="C142" s="137">
        <v>2274839.33</v>
      </c>
      <c r="D142" s="137">
        <v>1960669.96</v>
      </c>
      <c r="E142" s="137">
        <v>1290606.6000000001</v>
      </c>
      <c r="F142" s="137">
        <v>1014496.08</v>
      </c>
      <c r="G142" s="137">
        <v>919512.3</v>
      </c>
      <c r="H142" s="137">
        <v>3782064.22</v>
      </c>
      <c r="I142" s="137">
        <v>4739400.91</v>
      </c>
      <c r="J142" s="137">
        <v>4231502.49</v>
      </c>
      <c r="K142" s="138">
        <v>3830524.79</v>
      </c>
      <c r="L142" s="137">
        <v>2033787.68</v>
      </c>
      <c r="M142" s="137">
        <v>844174.88</v>
      </c>
      <c r="N142" s="137">
        <v>1366017.39</v>
      </c>
      <c r="O142" s="50">
        <f t="shared" ref="O142" si="9">SUM(C142:N142)</f>
        <v>28287596.629999999</v>
      </c>
      <c r="Q142" s="1"/>
    </row>
    <row r="143" spans="1:17" x14ac:dyDescent="0.2">
      <c r="A143" s="47" t="s">
        <v>40</v>
      </c>
      <c r="C143" s="121">
        <f>SUM(C142:C142)/O142</f>
        <v>8.0418261040510322E-2</v>
      </c>
      <c r="D143" s="121">
        <f t="shared" ref="D143" si="10">SUM(D142:D142)/O142</f>
        <v>6.9312002205257697E-2</v>
      </c>
      <c r="E143" s="121">
        <f t="shared" ref="E143" si="11">SUM(E142:E142)/O142</f>
        <v>4.5624469865045592E-2</v>
      </c>
      <c r="F143" s="121">
        <f t="shared" ref="F143" si="12">SUM(F142:F142)/O142</f>
        <v>3.5863636394054446E-2</v>
      </c>
      <c r="G143" s="121">
        <f t="shared" ref="G143" si="13">SUM(G142:G142)/O142</f>
        <v>3.2505847422358417E-2</v>
      </c>
      <c r="H143" s="121">
        <f t="shared" ref="H143" si="14">SUM(H142:H142)/O142</f>
        <v>0.13370044367745923</v>
      </c>
      <c r="I143" s="121">
        <f t="shared" ref="I143" si="15">SUM(I142:I142)/O142</f>
        <v>0.1675434280257552</v>
      </c>
      <c r="J143" s="121">
        <f t="shared" ref="J143" si="16">SUM(J142:J142)/O142</f>
        <v>0.14958861812644564</v>
      </c>
      <c r="K143" s="121">
        <f t="shared" ref="K143" si="17">SUM(K142:K142)/O142</f>
        <v>0.13541358214708113</v>
      </c>
      <c r="L143" s="121">
        <f t="shared" ref="L143" si="18">SUM(L142:L142)/O142</f>
        <v>7.189680009234492E-2</v>
      </c>
      <c r="M143" s="121">
        <f t="shared" ref="M143" si="19">SUM(M142:M142)/O142</f>
        <v>2.984258051476606E-2</v>
      </c>
      <c r="N143" s="121">
        <f t="shared" ref="N143" si="20">SUM(N142:N142)/O142</f>
        <v>4.8290330488921424E-2</v>
      </c>
      <c r="O143" s="50"/>
      <c r="Q143" s="1"/>
    </row>
    <row r="144" spans="1:17" x14ac:dyDescent="0.2">
      <c r="A144" s="29" t="s">
        <v>112</v>
      </c>
      <c r="C144" s="137">
        <v>2201356.39</v>
      </c>
      <c r="D144" s="138">
        <v>1978868.8</v>
      </c>
      <c r="E144" s="137">
        <v>0</v>
      </c>
      <c r="F144" s="137">
        <v>0</v>
      </c>
      <c r="G144" s="137">
        <v>0</v>
      </c>
      <c r="H144" s="137">
        <v>0</v>
      </c>
      <c r="I144" s="137">
        <v>0</v>
      </c>
      <c r="J144" s="137">
        <v>0</v>
      </c>
      <c r="K144" s="158">
        <v>0</v>
      </c>
      <c r="L144" s="137">
        <v>0</v>
      </c>
      <c r="M144" s="137">
        <v>0</v>
      </c>
      <c r="N144" s="137">
        <v>0</v>
      </c>
      <c r="O144" s="50">
        <f t="shared" ref="O144" si="21">SUM(C144:N144)</f>
        <v>4180225.1900000004</v>
      </c>
      <c r="Q144" s="1"/>
    </row>
    <row r="145" spans="1:17" x14ac:dyDescent="0.2">
      <c r="A145" s="47" t="s">
        <v>40</v>
      </c>
      <c r="C145" s="121">
        <f>SUM(C144:C144)/O144</f>
        <v>0.52661191441698385</v>
      </c>
      <c r="D145" s="121">
        <f t="shared" ref="D145" si="22">SUM(D144:D144)/O144</f>
        <v>0.47338808558301615</v>
      </c>
      <c r="E145" s="121">
        <f t="shared" ref="E145" si="23">SUM(E144:E144)/O144</f>
        <v>0</v>
      </c>
      <c r="F145" s="121">
        <f t="shared" ref="F145" si="24">SUM(F144:F144)/O144</f>
        <v>0</v>
      </c>
      <c r="G145" s="121">
        <f t="shared" ref="G145" si="25">SUM(G144:G144)/O144</f>
        <v>0</v>
      </c>
      <c r="H145" s="121">
        <f t="shared" ref="H145" si="26">SUM(H144:H144)/O144</f>
        <v>0</v>
      </c>
      <c r="I145" s="121">
        <f t="shared" ref="I145" si="27">SUM(I144:I144)/O144</f>
        <v>0</v>
      </c>
      <c r="J145" s="121">
        <f t="shared" ref="J145" si="28">SUM(J144:J144)/O144</f>
        <v>0</v>
      </c>
      <c r="K145" s="121">
        <f t="shared" ref="K145" si="29">SUM(K144:K144)/O144</f>
        <v>0</v>
      </c>
      <c r="L145" s="121">
        <f t="shared" ref="L145" si="30">SUM(L144:L144)/O144</f>
        <v>0</v>
      </c>
      <c r="M145" s="121">
        <f t="shared" ref="M145" si="31">SUM(M144:M144)/O144</f>
        <v>0</v>
      </c>
      <c r="N145" s="121">
        <f t="shared" ref="N145" si="32">SUM(N144:N144)/O144</f>
        <v>0</v>
      </c>
      <c r="O145" s="50"/>
      <c r="Q145" s="1"/>
    </row>
    <row r="146" spans="1:17" x14ac:dyDescent="0.2">
      <c r="A146" s="79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1"/>
      <c r="Q146" s="1"/>
    </row>
    <row r="147" spans="1:17" s="66" customFormat="1" x14ac:dyDescent="0.2">
      <c r="A147" s="65" t="s">
        <v>42</v>
      </c>
      <c r="C147" s="67">
        <f>IF(C144=0,0,(C144-C142)/C142)</f>
        <v>-3.2302474742249135E-2</v>
      </c>
      <c r="D147" s="67">
        <f>IF(D144=0,0,(D144-D142)/D142)</f>
        <v>9.281949727020903E-3</v>
      </c>
      <c r="E147" s="67">
        <f t="shared" ref="E147:N147" si="33">IF(E144=0,0,(E144-E142)/E142)</f>
        <v>0</v>
      </c>
      <c r="F147" s="67">
        <f t="shared" si="33"/>
        <v>0</v>
      </c>
      <c r="G147" s="67">
        <f t="shared" si="33"/>
        <v>0</v>
      </c>
      <c r="H147" s="67">
        <f t="shared" si="33"/>
        <v>0</v>
      </c>
      <c r="I147" s="67">
        <f t="shared" si="33"/>
        <v>0</v>
      </c>
      <c r="J147" s="67">
        <f t="shared" si="33"/>
        <v>0</v>
      </c>
      <c r="K147" s="67">
        <f t="shared" si="33"/>
        <v>0</v>
      </c>
      <c r="L147" s="67">
        <f t="shared" si="33"/>
        <v>0</v>
      </c>
      <c r="M147" s="67">
        <f t="shared" si="33"/>
        <v>0</v>
      </c>
      <c r="N147" s="67">
        <f t="shared" si="33"/>
        <v>0</v>
      </c>
      <c r="O147" s="67">
        <f>IF(O144=0,0,(O144-O142)/O142)</f>
        <v>-0.85222409508036023</v>
      </c>
      <c r="P147"/>
      <c r="Q147" s="1"/>
    </row>
    <row r="148" spans="1:17" x14ac:dyDescent="0.2">
      <c r="I148" s="72"/>
      <c r="Q148" s="1"/>
    </row>
    <row r="149" spans="1:17" x14ac:dyDescent="0.2">
      <c r="A149" s="47" t="s">
        <v>57</v>
      </c>
      <c r="B149" s="48"/>
      <c r="C149" s="50">
        <f>AVERAGE(C142,C140,C138)</f>
        <v>2233256.4733333332</v>
      </c>
      <c r="D149" s="50">
        <f t="shared" ref="D149:O149" si="34">AVERAGE(D142,D140,D138)</f>
        <v>1884623.2766666666</v>
      </c>
      <c r="E149" s="50">
        <f t="shared" si="34"/>
        <v>1323663.68</v>
      </c>
      <c r="F149" s="50">
        <f t="shared" si="34"/>
        <v>991877.60333333339</v>
      </c>
      <c r="G149" s="50">
        <f t="shared" si="34"/>
        <v>1098814.6666666667</v>
      </c>
      <c r="H149" s="50">
        <f t="shared" si="34"/>
        <v>3813441.9600000004</v>
      </c>
      <c r="I149" s="50">
        <f t="shared" si="34"/>
        <v>4574490.6333333338</v>
      </c>
      <c r="J149" s="50">
        <f t="shared" si="34"/>
        <v>4231158.3133333335</v>
      </c>
      <c r="K149" s="50">
        <f t="shared" si="34"/>
        <v>3614038.456666667</v>
      </c>
      <c r="L149" s="50">
        <f t="shared" si="34"/>
        <v>2327933.1933333334</v>
      </c>
      <c r="M149" s="50">
        <f t="shared" si="34"/>
        <v>1021050.41</v>
      </c>
      <c r="N149" s="50">
        <f t="shared" si="34"/>
        <v>1296186.6100000001</v>
      </c>
      <c r="O149" s="50">
        <f t="shared" si="34"/>
        <v>28410535.276666667</v>
      </c>
      <c r="Q149" s="1"/>
    </row>
    <row r="150" spans="1:17" x14ac:dyDescent="0.2">
      <c r="A150" s="71" t="s">
        <v>118</v>
      </c>
      <c r="B150" s="48"/>
      <c r="C150" s="62">
        <f>C149/$O149</f>
        <v>7.8606631363524068E-2</v>
      </c>
      <c r="D150" s="62">
        <f>D149/$O149</f>
        <v>6.6335366733286855E-2</v>
      </c>
      <c r="E150" s="62">
        <f t="shared" ref="E150:N150" si="35">E149/$O149</f>
        <v>4.6590592789257083E-2</v>
      </c>
      <c r="F150" s="62">
        <f t="shared" si="35"/>
        <v>3.4912316634454758E-2</v>
      </c>
      <c r="G150" s="62">
        <f t="shared" si="35"/>
        <v>3.8676309895826357E-2</v>
      </c>
      <c r="H150" s="62">
        <f t="shared" si="35"/>
        <v>0.13422633269187112</v>
      </c>
      <c r="I150" s="62">
        <f t="shared" si="35"/>
        <v>0.16101388406751788</v>
      </c>
      <c r="J150" s="62">
        <f t="shared" si="35"/>
        <v>0.14892920080982591</v>
      </c>
      <c r="K150" s="62">
        <f t="shared" si="35"/>
        <v>0.12720768621472775</v>
      </c>
      <c r="L150" s="62">
        <f t="shared" si="35"/>
        <v>8.1939082479915298E-2</v>
      </c>
      <c r="M150" s="62">
        <f t="shared" si="35"/>
        <v>3.593914722326897E-2</v>
      </c>
      <c r="N150" s="62">
        <f t="shared" si="35"/>
        <v>4.5623449096523966E-2</v>
      </c>
      <c r="O150" s="62">
        <f>SUM(C150:N150)</f>
        <v>1.0000000000000002</v>
      </c>
      <c r="Q150" s="1"/>
    </row>
    <row r="151" spans="1:17" x14ac:dyDescent="0.2">
      <c r="A151" s="47" t="s">
        <v>41</v>
      </c>
      <c r="B151" s="48"/>
      <c r="C151" s="62">
        <f>SUM(C149:C149)/O149</f>
        <v>7.8606631363524068E-2</v>
      </c>
      <c r="D151" s="62">
        <f>SUM(C149:D149)/O149</f>
        <v>0.14494199809681094</v>
      </c>
      <c r="E151" s="62">
        <f>SUM(C149:E149)/O149</f>
        <v>0.191532590886068</v>
      </c>
      <c r="F151" s="62">
        <f>SUM(C149:F149)/O149</f>
        <v>0.22644490752052276</v>
      </c>
      <c r="G151" s="62">
        <f>SUM(C149:G149)/O149</f>
        <v>0.26512121741634914</v>
      </c>
      <c r="H151" s="62">
        <f>SUM(C149:H149)/O149</f>
        <v>0.39934755010822021</v>
      </c>
      <c r="I151" s="62">
        <f>SUM(C149:I149)/O149</f>
        <v>0.56036143417573803</v>
      </c>
      <c r="J151" s="62">
        <f>SUM(C149:J149)/O149</f>
        <v>0.70929063498556399</v>
      </c>
      <c r="K151" s="62">
        <f>SUM(C149:K149)/O149</f>
        <v>0.83649832120029166</v>
      </c>
      <c r="L151" s="62">
        <f>SUM(C149:L149)/O149</f>
        <v>0.9184374036802071</v>
      </c>
      <c r="M151" s="62">
        <f>SUM(C149:M149)/O149</f>
        <v>0.95437655090347606</v>
      </c>
      <c r="N151" s="62">
        <f>SUM(C149:N149)/O149</f>
        <v>1</v>
      </c>
      <c r="O151" s="62"/>
      <c r="Q151" s="1"/>
    </row>
    <row r="152" spans="1:17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x14ac:dyDescent="0.25">
      <c r="A153" s="36" t="s">
        <v>113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8"/>
      <c r="Q153" s="1"/>
    </row>
    <row r="154" spans="1:17" x14ac:dyDescent="0.2">
      <c r="Q154" s="1"/>
    </row>
    <row r="155" spans="1:17" x14ac:dyDescent="0.2">
      <c r="A155" s="63" t="s">
        <v>120</v>
      </c>
      <c r="C155" s="106" t="s">
        <v>76</v>
      </c>
      <c r="D155" s="56">
        <v>19500000</v>
      </c>
      <c r="E155" s="57"/>
      <c r="F155" s="57" t="s">
        <v>77</v>
      </c>
      <c r="G155" s="57"/>
      <c r="H155" s="57" t="s">
        <v>85</v>
      </c>
      <c r="J155" s="132"/>
      <c r="K155" s="1"/>
      <c r="N155" s="1"/>
      <c r="Q155" s="1"/>
    </row>
    <row r="156" spans="1:17" x14ac:dyDescent="0.2">
      <c r="A156" s="70" t="s">
        <v>48</v>
      </c>
      <c r="C156" s="107">
        <f>2.35/13</f>
        <v>0.18076923076923077</v>
      </c>
      <c r="D156" s="69">
        <f>ROUND(D155*C156,-3)</f>
        <v>3525000</v>
      </c>
      <c r="E156" s="80"/>
      <c r="F156" s="108">
        <f>$I$175*C156</f>
        <v>244748.01511538465</v>
      </c>
      <c r="H156" s="108">
        <f>IF($O$166&lt;$D$155,0,(($O$166-$D$155)*C156))</f>
        <v>0</v>
      </c>
      <c r="I156" s="9"/>
      <c r="J156" s="108"/>
      <c r="Q156" s="1"/>
    </row>
    <row r="157" spans="1:17" x14ac:dyDescent="0.2">
      <c r="A157" s="70" t="s">
        <v>79</v>
      </c>
      <c r="C157" s="107">
        <f>0.85/13</f>
        <v>6.5384615384615388E-2</v>
      </c>
      <c r="D157" s="69">
        <f>D155*C157</f>
        <v>1275000</v>
      </c>
      <c r="E157" s="80"/>
      <c r="F157" s="109">
        <f>$I$175*C157</f>
        <v>88525.877807692319</v>
      </c>
      <c r="H157" s="108">
        <f>IF($O$166&lt;$D$155,0,(($O$166-$D$155)*C157))</f>
        <v>0</v>
      </c>
      <c r="Q157" s="1"/>
    </row>
    <row r="158" spans="1:17" x14ac:dyDescent="0.2">
      <c r="A158" s="70" t="s">
        <v>47</v>
      </c>
      <c r="C158" s="107">
        <f>C157</f>
        <v>6.5384615384615388E-2</v>
      </c>
      <c r="D158" s="69">
        <f>D155*C158</f>
        <v>1275000</v>
      </c>
      <c r="E158" s="80"/>
      <c r="F158" s="109">
        <f>$I$175*C158</f>
        <v>88525.877807692319</v>
      </c>
      <c r="H158" s="108">
        <f>IF($O$166&lt;$D$155,0,(($O$166-$D$155)*C158))</f>
        <v>0</v>
      </c>
      <c r="J158" s="1"/>
      <c r="L158" s="1"/>
      <c r="M158" s="1"/>
      <c r="Q158" s="1"/>
    </row>
    <row r="159" spans="1:17" x14ac:dyDescent="0.2">
      <c r="A159" s="29" t="s">
        <v>46</v>
      </c>
      <c r="D159" s="56">
        <f>D155-D156-D157-D158</f>
        <v>13425000</v>
      </c>
      <c r="E159" s="80"/>
      <c r="F159" s="68" t="s">
        <v>78</v>
      </c>
      <c r="Q159" s="1"/>
    </row>
    <row r="160" spans="1:17" ht="13.5" thickBot="1" x14ac:dyDescent="0.25">
      <c r="D160" s="9"/>
      <c r="E160" s="80"/>
      <c r="F160" s="68"/>
      <c r="Q160" s="1"/>
    </row>
    <row r="161" spans="1:17" s="57" customFormat="1" ht="13.5" thickBot="1" x14ac:dyDescent="0.25">
      <c r="B161" s="85"/>
      <c r="C161" s="152"/>
      <c r="D161" s="141" t="s">
        <v>58</v>
      </c>
      <c r="E161" s="153">
        <f>SUM(C163:E163)</f>
        <v>3734800</v>
      </c>
      <c r="F161" s="141"/>
      <c r="G161" s="141" t="s">
        <v>58</v>
      </c>
      <c r="H161" s="153">
        <f>SUM(F163:H163)</f>
        <v>4052400</v>
      </c>
      <c r="I161" s="141"/>
      <c r="J161" s="141" t="s">
        <v>58</v>
      </c>
      <c r="K161" s="153">
        <f>SUM(I163:K163)</f>
        <v>8524400</v>
      </c>
      <c r="L161" s="141"/>
      <c r="M161" s="85" t="s">
        <v>58</v>
      </c>
      <c r="N161" s="153">
        <f>SUM(L163:N163)</f>
        <v>3188300</v>
      </c>
      <c r="O161" s="172">
        <v>19500000</v>
      </c>
      <c r="Q161" s="1"/>
    </row>
    <row r="162" spans="1:17" s="57" customFormat="1" ht="13.5" thickBot="1" x14ac:dyDescent="0.25">
      <c r="A162" s="86"/>
      <c r="C162" s="143" t="s">
        <v>7</v>
      </c>
      <c r="D162" s="147" t="s">
        <v>8</v>
      </c>
      <c r="E162" s="146" t="s">
        <v>9</v>
      </c>
      <c r="F162" s="146" t="s">
        <v>10</v>
      </c>
      <c r="G162" s="146" t="s">
        <v>11</v>
      </c>
      <c r="H162" s="147" t="s">
        <v>12</v>
      </c>
      <c r="I162" s="147" t="s">
        <v>1</v>
      </c>
      <c r="J162" s="147" t="s">
        <v>2</v>
      </c>
      <c r="K162" s="147" t="s">
        <v>3</v>
      </c>
      <c r="L162" s="147" t="s">
        <v>4</v>
      </c>
      <c r="M162" s="146" t="s">
        <v>5</v>
      </c>
      <c r="N162" s="146" t="s">
        <v>6</v>
      </c>
      <c r="O162" s="148" t="s">
        <v>16</v>
      </c>
      <c r="Q162" s="1"/>
    </row>
    <row r="163" spans="1:17" s="57" customFormat="1" ht="13.5" thickBot="1" x14ac:dyDescent="0.25">
      <c r="A163" s="163" t="s">
        <v>114</v>
      </c>
      <c r="B163" s="164"/>
      <c r="C163" s="188">
        <f>ROUND($O$161*C150,-2)</f>
        <v>1532800</v>
      </c>
      <c r="D163" s="188">
        <f>ROUND($O$161*D150,-2)</f>
        <v>1293500</v>
      </c>
      <c r="E163" s="188">
        <f>ROUND($O$161*E150,-2)</f>
        <v>908500</v>
      </c>
      <c r="F163" s="145">
        <f>ROUND($O$161*F150,-2)</f>
        <v>680800</v>
      </c>
      <c r="G163" s="188">
        <f>ROUND($O$161*G150,-2)</f>
        <v>754200</v>
      </c>
      <c r="H163" s="188">
        <f>ROUND($O$161*H150,-2)</f>
        <v>2617400</v>
      </c>
      <c r="I163" s="188">
        <f>ROUND($O$161*I150,-2)</f>
        <v>3139800</v>
      </c>
      <c r="J163" s="188">
        <f>ROUND($O$161*J150,-2)</f>
        <v>2904100</v>
      </c>
      <c r="K163" s="188">
        <f>ROUND($O$161*K150,-2)</f>
        <v>2480500</v>
      </c>
      <c r="L163" s="188">
        <f>ROUND($O$161*L150,-2)</f>
        <v>1597800</v>
      </c>
      <c r="M163" s="188">
        <f>ROUND($O$161*M150,-2)</f>
        <v>700800</v>
      </c>
      <c r="N163" s="188">
        <f>ROUND($O$161*N150,-2)</f>
        <v>889700</v>
      </c>
      <c r="O163" s="189">
        <f>ROUND($O$161*O150,-2)</f>
        <v>19500000</v>
      </c>
    </row>
    <row r="164" spans="1:17" s="57" customFormat="1" ht="13.5" thickBot="1" x14ac:dyDescent="0.25">
      <c r="A164" s="142"/>
      <c r="C164" s="133"/>
      <c r="D164" s="145"/>
      <c r="E164" s="133"/>
      <c r="F164" s="133"/>
      <c r="G164" s="145"/>
      <c r="H164" s="133"/>
      <c r="I164" s="145"/>
      <c r="J164" s="133"/>
      <c r="K164" s="133"/>
      <c r="L164" s="133"/>
      <c r="M164" s="145"/>
      <c r="N164" s="133"/>
      <c r="O164" s="9"/>
      <c r="Q164" s="135"/>
    </row>
    <row r="165" spans="1:17" ht="13.5" thickBot="1" x14ac:dyDescent="0.25">
      <c r="A165" s="134"/>
      <c r="C165" s="143" t="s">
        <v>7</v>
      </c>
      <c r="D165" s="147" t="s">
        <v>8</v>
      </c>
      <c r="E165" s="146" t="s">
        <v>9</v>
      </c>
      <c r="F165" s="146" t="s">
        <v>10</v>
      </c>
      <c r="G165" s="146" t="s">
        <v>11</v>
      </c>
      <c r="H165" s="147" t="s">
        <v>12</v>
      </c>
      <c r="I165" s="147" t="s">
        <v>1</v>
      </c>
      <c r="J165" s="147" t="s">
        <v>2</v>
      </c>
      <c r="K165" s="147" t="s">
        <v>3</v>
      </c>
      <c r="L165" s="147" t="s">
        <v>4</v>
      </c>
      <c r="M165" s="146" t="s">
        <v>5</v>
      </c>
      <c r="N165" s="146" t="s">
        <v>6</v>
      </c>
      <c r="O165" s="148" t="s">
        <v>16</v>
      </c>
    </row>
    <row r="166" spans="1:17" ht="13.5" thickBot="1" x14ac:dyDescent="0.25">
      <c r="A166" s="139" t="s">
        <v>115</v>
      </c>
      <c r="B166" s="140"/>
      <c r="C166" s="190">
        <f>C144</f>
        <v>2201356.39</v>
      </c>
      <c r="D166" s="191">
        <f>D144</f>
        <v>1978868.8</v>
      </c>
      <c r="E166" s="190">
        <f>E144</f>
        <v>0</v>
      </c>
      <c r="F166" s="190">
        <f>F144</f>
        <v>0</v>
      </c>
      <c r="G166" s="190">
        <f>G144</f>
        <v>0</v>
      </c>
      <c r="H166" s="190">
        <f>H144</f>
        <v>0</v>
      </c>
      <c r="I166" s="190">
        <f>I144</f>
        <v>0</v>
      </c>
      <c r="J166" s="190">
        <f>J144</f>
        <v>0</v>
      </c>
      <c r="K166" s="190">
        <f>K144</f>
        <v>0</v>
      </c>
      <c r="L166" s="190">
        <f>L144</f>
        <v>0</v>
      </c>
      <c r="M166" s="192">
        <f>M144</f>
        <v>0</v>
      </c>
      <c r="N166" s="192">
        <f>N144</f>
        <v>0</v>
      </c>
      <c r="O166" s="194">
        <f>SUM(C166:N166)</f>
        <v>4180225.1900000004</v>
      </c>
      <c r="Q166" s="75"/>
    </row>
    <row r="167" spans="1:17" hidden="1" x14ac:dyDescent="0.2">
      <c r="A167" s="63" t="s">
        <v>50</v>
      </c>
      <c r="C167" s="100"/>
      <c r="D167" s="100"/>
      <c r="E167" s="100"/>
      <c r="F167" s="100"/>
      <c r="G167" s="100"/>
      <c r="H167" s="100"/>
      <c r="I167" s="100"/>
      <c r="J167" s="100"/>
      <c r="K167" s="100"/>
      <c r="L167" s="100">
        <f>L116</f>
        <v>753997.99</v>
      </c>
      <c r="M167" s="100">
        <f>M116</f>
        <v>307818.40999999997</v>
      </c>
      <c r="N167" s="100">
        <f>N116</f>
        <v>536020.42000000004</v>
      </c>
      <c r="O167" s="100">
        <f>SUM(C167:N167)</f>
        <v>1597836.8199999998</v>
      </c>
    </row>
    <row r="168" spans="1:17" ht="13.5" thickBot="1" x14ac:dyDescent="0.25">
      <c r="D168" s="149"/>
      <c r="H168" s="1"/>
      <c r="K168" s="1"/>
      <c r="Q168" s="81"/>
    </row>
    <row r="169" spans="1:17" hidden="1" x14ac:dyDescent="0.2">
      <c r="C169" s="60"/>
      <c r="D169" s="144"/>
      <c r="E169" s="60"/>
      <c r="F169" s="60"/>
      <c r="G169" s="60"/>
      <c r="H169" s="61"/>
      <c r="I169" s="61"/>
      <c r="J169" s="61"/>
      <c r="K169" s="61" t="s">
        <v>52</v>
      </c>
      <c r="L169" s="61" t="s">
        <v>53</v>
      </c>
      <c r="M169" s="60" t="s">
        <v>54</v>
      </c>
      <c r="N169" s="60" t="s">
        <v>55</v>
      </c>
      <c r="O169" s="24" t="s">
        <v>16</v>
      </c>
    </row>
    <row r="170" spans="1:17" hidden="1" x14ac:dyDescent="0.2">
      <c r="A170" s="63" t="s">
        <v>51</v>
      </c>
      <c r="C170" s="116"/>
      <c r="D170" s="150"/>
      <c r="E170" s="150"/>
      <c r="F170" s="77"/>
      <c r="G170" s="77"/>
      <c r="H170" s="151"/>
      <c r="I170" s="151"/>
      <c r="J170" s="151"/>
      <c r="K170" s="76">
        <v>550958</v>
      </c>
      <c r="L170" s="76"/>
      <c r="M170" s="116"/>
      <c r="N170" s="116"/>
      <c r="O170" s="50">
        <f>SUM(C170:N170)</f>
        <v>550958</v>
      </c>
    </row>
    <row r="171" spans="1:17" ht="13.5" thickBot="1" x14ac:dyDescent="0.25">
      <c r="C171" s="143" t="s">
        <v>7</v>
      </c>
      <c r="D171" s="147" t="s">
        <v>8</v>
      </c>
      <c r="E171" s="146" t="s">
        <v>9</v>
      </c>
      <c r="F171" s="146" t="s">
        <v>10</v>
      </c>
      <c r="G171" s="146" t="s">
        <v>11</v>
      </c>
      <c r="H171" s="147" t="s">
        <v>12</v>
      </c>
      <c r="I171" s="147" t="s">
        <v>1</v>
      </c>
      <c r="J171" s="147" t="s">
        <v>2</v>
      </c>
      <c r="K171" s="147" t="s">
        <v>3</v>
      </c>
      <c r="L171" s="147" t="s">
        <v>4</v>
      </c>
      <c r="M171" s="146" t="s">
        <v>5</v>
      </c>
      <c r="N171" s="146" t="s">
        <v>6</v>
      </c>
      <c r="O171" s="148" t="s">
        <v>16</v>
      </c>
    </row>
    <row r="172" spans="1:17" s="57" customFormat="1" ht="13.5" thickBot="1" x14ac:dyDescent="0.25">
      <c r="A172" s="139" t="s">
        <v>116</v>
      </c>
      <c r="B172" s="141"/>
      <c r="C172" s="194">
        <f>IF(C166=0," ",C166-C163)</f>
        <v>668556.39000000013</v>
      </c>
      <c r="D172" s="194">
        <f>IF(D166=0," ",D166-D163)</f>
        <v>685368.8</v>
      </c>
      <c r="E172" s="194">
        <f t="shared" ref="E172:N172" si="36">IF((E166-E163)&lt;0,0,E166-E163)</f>
        <v>0</v>
      </c>
      <c r="F172" s="194">
        <f t="shared" si="36"/>
        <v>0</v>
      </c>
      <c r="G172" s="194">
        <f t="shared" si="36"/>
        <v>0</v>
      </c>
      <c r="H172" s="194">
        <f t="shared" si="36"/>
        <v>0</v>
      </c>
      <c r="I172" s="194">
        <f t="shared" si="36"/>
        <v>0</v>
      </c>
      <c r="J172" s="194">
        <f t="shared" si="36"/>
        <v>0</v>
      </c>
      <c r="K172" s="194">
        <f t="shared" si="36"/>
        <v>0</v>
      </c>
      <c r="L172" s="194">
        <f t="shared" si="36"/>
        <v>0</v>
      </c>
      <c r="M172" s="194">
        <f t="shared" si="36"/>
        <v>0</v>
      </c>
      <c r="N172" s="194">
        <f t="shared" si="36"/>
        <v>0</v>
      </c>
      <c r="O172" s="195">
        <f>SUM(C172:N172)</f>
        <v>1353925.1900000002</v>
      </c>
    </row>
    <row r="173" spans="1:17" x14ac:dyDescent="0.2">
      <c r="A173" s="63" t="s">
        <v>95</v>
      </c>
      <c r="C173" s="113">
        <f t="shared" ref="C173:O173" si="37">IF(C166=0," ",C172/C163)</f>
        <v>0.43616674712943643</v>
      </c>
      <c r="D173" s="113">
        <f t="shared" si="37"/>
        <v>0.52985604947816012</v>
      </c>
      <c r="E173" s="113" t="str">
        <f t="shared" si="37"/>
        <v xml:space="preserve"> </v>
      </c>
      <c r="F173" s="113" t="str">
        <f t="shared" si="37"/>
        <v xml:space="preserve"> </v>
      </c>
      <c r="G173" s="113" t="str">
        <f t="shared" si="37"/>
        <v xml:space="preserve"> </v>
      </c>
      <c r="H173" s="113" t="str">
        <f t="shared" si="37"/>
        <v xml:space="preserve"> </v>
      </c>
      <c r="I173" s="113" t="str">
        <f t="shared" si="37"/>
        <v xml:space="preserve"> </v>
      </c>
      <c r="J173" s="113" t="str">
        <f t="shared" si="37"/>
        <v xml:space="preserve"> </v>
      </c>
      <c r="K173" s="113" t="str">
        <f t="shared" si="37"/>
        <v xml:space="preserve"> </v>
      </c>
      <c r="L173" s="113" t="str">
        <f t="shared" si="37"/>
        <v xml:space="preserve"> </v>
      </c>
      <c r="M173" s="113" t="str">
        <f t="shared" si="37"/>
        <v xml:space="preserve"> </v>
      </c>
      <c r="N173" s="113" t="str">
        <f t="shared" si="37"/>
        <v xml:space="preserve"> </v>
      </c>
      <c r="O173" s="113">
        <f t="shared" si="37"/>
        <v>6.9432061025641034E-2</v>
      </c>
    </row>
    <row r="174" spans="1:17" ht="13.5" thickBot="1" x14ac:dyDescent="0.25">
      <c r="A174" s="63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1:17" ht="13.5" thickBot="1" x14ac:dyDescent="0.25">
      <c r="A175" s="63"/>
      <c r="B175" s="74"/>
      <c r="C175" s="68"/>
      <c r="D175" s="68"/>
      <c r="E175" s="68"/>
      <c r="F175" s="210" t="s">
        <v>81</v>
      </c>
      <c r="G175" s="210"/>
      <c r="H175" s="211"/>
      <c r="I175" s="93">
        <f>O172</f>
        <v>1353925.1900000002</v>
      </c>
      <c r="J175" s="111">
        <f>I175/(C163+D163)</f>
        <v>0.47904510844567111</v>
      </c>
      <c r="K175" s="110"/>
      <c r="L175" s="1"/>
      <c r="M175" s="1"/>
      <c r="N175" s="1"/>
      <c r="O175" s="1"/>
      <c r="Q175" s="1"/>
    </row>
    <row r="176" spans="1:17" ht="13.5" thickBot="1" x14ac:dyDescent="0.25">
      <c r="A176" s="63"/>
      <c r="B176" s="68"/>
      <c r="C176" s="68"/>
      <c r="D176" s="68"/>
      <c r="E176" s="68"/>
      <c r="F176" s="68"/>
      <c r="G176" s="68"/>
      <c r="H176" s="68"/>
      <c r="O176" s="83"/>
    </row>
    <row r="177" spans="1:15" ht="13.5" thickBot="1" x14ac:dyDescent="0.25">
      <c r="A177" s="74"/>
      <c r="B177" s="68"/>
      <c r="C177" s="68"/>
      <c r="D177" s="68"/>
      <c r="E177" s="210" t="s">
        <v>82</v>
      </c>
      <c r="F177" s="210"/>
      <c r="G177" s="210"/>
      <c r="H177" s="211"/>
      <c r="I177" s="93">
        <f>SUM(C144:D144)-SUM(C142:D142)</f>
        <v>-55284.099999999627</v>
      </c>
      <c r="J177" s="111">
        <f>I177/(C142+D142)</f>
        <v>-1.3052527149574408E-2</v>
      </c>
      <c r="K177" s="110"/>
    </row>
    <row r="178" spans="1:15" x14ac:dyDescent="0.2">
      <c r="A178" s="74"/>
      <c r="B178" s="68"/>
      <c r="C178" s="68"/>
      <c r="D178" s="68"/>
      <c r="E178" s="68"/>
      <c r="F178" s="68"/>
      <c r="G178" s="68"/>
      <c r="H178" s="68"/>
    </row>
    <row r="179" spans="1:15" x14ac:dyDescent="0.2">
      <c r="A179" s="74"/>
      <c r="B179" s="68"/>
      <c r="C179" s="68"/>
      <c r="D179" s="68"/>
      <c r="E179" s="68"/>
      <c r="F179" s="68"/>
      <c r="G179" s="68"/>
      <c r="H179" s="68"/>
    </row>
    <row r="180" spans="1:15" x14ac:dyDescent="0.2">
      <c r="A180" s="74"/>
      <c r="B180" s="68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1"/>
    </row>
    <row r="181" spans="1:15" x14ac:dyDescent="0.2">
      <c r="A181" s="74"/>
      <c r="B181" s="68"/>
      <c r="C181" s="68"/>
      <c r="D181" s="68"/>
      <c r="E181" s="68"/>
      <c r="F181" s="68"/>
      <c r="G181" s="68"/>
      <c r="H181" s="68"/>
      <c r="J181" s="154"/>
      <c r="K181" s="154"/>
      <c r="L181" s="154"/>
      <c r="M181" s="154"/>
      <c r="N181" s="154"/>
    </row>
    <row r="182" spans="1:15" x14ac:dyDescent="0.2">
      <c r="A182" s="74"/>
      <c r="B182" s="68"/>
      <c r="C182" s="128"/>
      <c r="D182" s="128"/>
      <c r="E182" s="128"/>
      <c r="F182" s="128"/>
      <c r="G182" s="128"/>
      <c r="H182" s="128"/>
      <c r="I182" s="128"/>
      <c r="J182" s="155"/>
      <c r="K182" s="155"/>
      <c r="L182" s="155"/>
      <c r="M182" s="155"/>
      <c r="N182" s="155"/>
      <c r="O182" s="154"/>
    </row>
    <row r="183" spans="1:15" x14ac:dyDescent="0.2">
      <c r="A183" s="74"/>
      <c r="B183" s="68"/>
      <c r="C183" s="128"/>
      <c r="D183" s="128"/>
      <c r="E183" s="128"/>
      <c r="F183" s="128"/>
      <c r="G183" s="156"/>
      <c r="H183" s="128"/>
      <c r="I183" s="128"/>
      <c r="J183" s="128"/>
      <c r="K183" s="128"/>
      <c r="L183" s="128"/>
      <c r="M183" s="128"/>
      <c r="N183" s="128"/>
    </row>
    <row r="184" spans="1:15" x14ac:dyDescent="0.2">
      <c r="A184" s="74"/>
      <c r="B184" s="68"/>
      <c r="C184" s="68"/>
      <c r="D184" s="68"/>
      <c r="E184" s="68"/>
      <c r="F184" s="68"/>
      <c r="G184" s="68"/>
      <c r="H184" s="68"/>
    </row>
    <row r="185" spans="1:15" x14ac:dyDescent="0.2"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2"/>
    </row>
    <row r="186" spans="1:15" x14ac:dyDescent="0.2">
      <c r="G186" s="157"/>
    </row>
    <row r="187" spans="1:15" x14ac:dyDescent="0.2"/>
    <row r="188" spans="1:1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2"/>
    <row r="190" spans="1:15" x14ac:dyDescent="0.2"/>
    <row r="191" spans="1:15" x14ac:dyDescent="0.2"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</row>
    <row r="192" spans="1:15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</sheetData>
  <mergeCells count="2">
    <mergeCell ref="E177:H177"/>
    <mergeCell ref="F175:H175"/>
  </mergeCells>
  <phoneticPr fontId="2" type="noConversion"/>
  <conditionalFormatting sqref="A66:B69 A75:A99 B88:B99">
    <cfRule type="expression" dxfId="17" priority="6" stopIfTrue="1">
      <formula>MOD(ROW(),2)=0</formula>
    </cfRule>
  </conditionalFormatting>
  <conditionalFormatting sqref="C66:N69">
    <cfRule type="cellIs" dxfId="16" priority="9" stopIfTrue="1" operator="between">
      <formula>1</formula>
      <formula>4</formula>
    </cfRule>
    <cfRule type="cellIs" dxfId="15" priority="10" stopIfTrue="1" operator="between">
      <formula>5</formula>
      <formula>8</formula>
    </cfRule>
    <cfRule type="cellIs" dxfId="14" priority="11" stopIfTrue="1" operator="greaterThanOrEqual">
      <formula>9</formula>
    </cfRule>
  </conditionalFormatting>
  <conditionalFormatting sqref="C75:O99">
    <cfRule type="expression" dxfId="13" priority="7" stopIfTrue="1">
      <formula>MOD(ROW(),2)=0</formula>
    </cfRule>
    <cfRule type="expression" dxfId="12" priority="8" stopIfTrue="1">
      <formula>MOD(COLUMN(),2)=0</formula>
    </cfRule>
  </conditionalFormatting>
  <pageMargins left="0.25" right="0.25" top="0.5" bottom="0.45" header="0.25" footer="0.25"/>
  <pageSetup scale="63" orientation="landscape" r:id="rId1"/>
  <headerFooter alignWithMargins="0">
    <oddFooter>&amp;L&amp;7&amp;D  at &amp;T Danny&amp;C&amp;7&amp;F  &amp;A&amp;R&amp;7Page &amp;P of &amp;N</oddFooter>
  </headerFooter>
  <rowBreaks count="1" manualBreakCount="1">
    <brk id="60" max="14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FA6C-168B-42CC-B0C9-20977871626A}">
  <sheetPr>
    <pageSetUpPr fitToPage="1"/>
  </sheetPr>
  <dimension ref="A1:Q349"/>
  <sheetViews>
    <sheetView topLeftCell="A116" zoomScaleNormal="100" workbookViewId="0">
      <selection activeCell="K149" sqref="K149"/>
    </sheetView>
  </sheetViews>
  <sheetFormatPr defaultColWidth="0" defaultRowHeight="0" customHeight="1" zeroHeight="1" x14ac:dyDescent="0.2"/>
  <cols>
    <col min="1" max="1" width="43.85546875" style="29" customWidth="1"/>
    <col min="2" max="2" width="0.7109375" hidden="1" customWidth="1"/>
    <col min="3" max="14" width="13.7109375" customWidth="1"/>
    <col min="15" max="15" width="14.7109375" customWidth="1"/>
    <col min="16" max="16" width="1.42578125" customWidth="1"/>
    <col min="17" max="17" width="15.28515625" bestFit="1" customWidth="1"/>
    <col min="18" max="16384" width="9.140625" hidden="1"/>
  </cols>
  <sheetData>
    <row r="1" spans="1:15" ht="11.25" hidden="1" customHeight="1" x14ac:dyDescent="0.25">
      <c r="A1" s="31" t="s">
        <v>21</v>
      </c>
      <c r="B1" s="6"/>
      <c r="C1" s="6"/>
      <c r="D1" s="6"/>
      <c r="E1" s="6"/>
      <c r="G1" s="30" t="s">
        <v>27</v>
      </c>
      <c r="H1" s="30"/>
      <c r="I1" s="30"/>
      <c r="J1" s="30"/>
      <c r="K1" s="30"/>
      <c r="L1" s="30"/>
      <c r="M1" s="30"/>
      <c r="N1" s="30"/>
      <c r="O1" s="16"/>
    </row>
    <row r="2" spans="1:15" ht="15.75" hidden="1" x14ac:dyDescent="0.25">
      <c r="A2" s="32" t="s">
        <v>15</v>
      </c>
      <c r="B2" s="10"/>
      <c r="C2" s="10"/>
      <c r="D2" s="10"/>
      <c r="E2" s="10"/>
      <c r="G2" s="30" t="s">
        <v>25</v>
      </c>
      <c r="H2" s="30"/>
      <c r="I2" s="30"/>
      <c r="J2" s="30"/>
      <c r="K2" s="30"/>
      <c r="L2" s="30"/>
      <c r="M2" s="30"/>
      <c r="N2" s="30"/>
      <c r="O2" s="16"/>
    </row>
    <row r="3" spans="1:15" ht="15" hidden="1" x14ac:dyDescent="0.25">
      <c r="A3" s="33" t="s">
        <v>14</v>
      </c>
      <c r="G3" s="30" t="s">
        <v>29</v>
      </c>
      <c r="H3" s="16"/>
      <c r="I3" s="16"/>
      <c r="J3" s="16"/>
      <c r="K3" s="16"/>
      <c r="L3" s="16"/>
      <c r="M3" s="16"/>
      <c r="N3" s="16"/>
      <c r="O3" s="16"/>
    </row>
    <row r="4" spans="1:15" ht="12.75" hidden="1" x14ac:dyDescent="0.2">
      <c r="A4" s="34" t="str">
        <f ca="1">CELL("filename")</f>
        <v>Y:\Revenue Team\Susan Cash\[TOT and TBID projections - Including Measure L 25-26.xlsx]TOT - Baseline</v>
      </c>
    </row>
    <row r="61" spans="1:15" ht="11.25" hidden="1" customHeight="1" x14ac:dyDescent="0.2"/>
    <row r="62" spans="1:15" ht="11.25" hidden="1" customHeight="1" x14ac:dyDescent="0.3">
      <c r="A62" s="35" t="s">
        <v>28</v>
      </c>
    </row>
    <row r="63" spans="1:15" ht="11.25" hidden="1" customHeight="1" x14ac:dyDescent="0.2"/>
    <row r="64" spans="1:15" ht="11.25" hidden="1" customHeight="1" x14ac:dyDescent="0.25">
      <c r="A64" s="36" t="s">
        <v>26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8"/>
    </row>
    <row r="65" spans="1:15" ht="12.75" hidden="1" x14ac:dyDescent="0.2">
      <c r="A65" s="37"/>
      <c r="B65" s="21"/>
      <c r="C65" s="22" t="s">
        <v>1</v>
      </c>
      <c r="D65" s="22" t="s">
        <v>2</v>
      </c>
      <c r="E65" s="22" t="s">
        <v>3</v>
      </c>
      <c r="F65" s="22" t="s">
        <v>4</v>
      </c>
      <c r="G65" s="23" t="s">
        <v>5</v>
      </c>
      <c r="H65" s="23" t="s">
        <v>6</v>
      </c>
      <c r="I65" s="23" t="s">
        <v>7</v>
      </c>
      <c r="J65" s="22" t="s">
        <v>8</v>
      </c>
      <c r="K65" s="23" t="s">
        <v>9</v>
      </c>
      <c r="L65" s="23" t="s">
        <v>10</v>
      </c>
      <c r="M65" s="23" t="s">
        <v>11</v>
      </c>
      <c r="N65" s="22" t="s">
        <v>12</v>
      </c>
      <c r="O65" s="26"/>
    </row>
    <row r="66" spans="1:15" ht="12.75" hidden="1" x14ac:dyDescent="0.2">
      <c r="A66" s="38" t="s">
        <v>24</v>
      </c>
      <c r="B66" s="2"/>
      <c r="C66" s="27">
        <f t="shared" ref="C66:N66" si="0">RANK(C100,$C100:$N100)</f>
        <v>1</v>
      </c>
      <c r="D66" s="27">
        <f t="shared" si="0"/>
        <v>2</v>
      </c>
      <c r="E66" s="27">
        <f t="shared" si="0"/>
        <v>4</v>
      </c>
      <c r="F66" s="27">
        <f t="shared" si="0"/>
        <v>6</v>
      </c>
      <c r="G66" s="27">
        <f t="shared" si="0"/>
        <v>10</v>
      </c>
      <c r="H66" s="27">
        <f t="shared" si="0"/>
        <v>9</v>
      </c>
      <c r="I66" s="27">
        <f t="shared" si="0"/>
        <v>7</v>
      </c>
      <c r="J66" s="27">
        <f t="shared" si="0"/>
        <v>5</v>
      </c>
      <c r="K66" s="27">
        <f t="shared" si="0"/>
        <v>8</v>
      </c>
      <c r="L66" s="27">
        <f t="shared" si="0"/>
        <v>12</v>
      </c>
      <c r="M66" s="27">
        <f t="shared" si="0"/>
        <v>11</v>
      </c>
      <c r="N66" s="27">
        <f t="shared" si="0"/>
        <v>3</v>
      </c>
      <c r="O66" s="19"/>
    </row>
    <row r="67" spans="1:15" ht="12.75" hidden="1" x14ac:dyDescent="0.2">
      <c r="A67" s="38">
        <v>2008</v>
      </c>
      <c r="B67" s="2"/>
      <c r="C67" s="27">
        <f t="shared" ref="C67:N69" si="1">RANK(C96,$C96:$N96)</f>
        <v>1</v>
      </c>
      <c r="D67" s="27">
        <f t="shared" si="1"/>
        <v>2</v>
      </c>
      <c r="E67" s="27">
        <f t="shared" si="1"/>
        <v>3</v>
      </c>
      <c r="F67" s="27">
        <f t="shared" si="1"/>
        <v>7</v>
      </c>
      <c r="G67" s="27">
        <f t="shared" si="1"/>
        <v>11</v>
      </c>
      <c r="H67" s="27">
        <f t="shared" si="1"/>
        <v>8</v>
      </c>
      <c r="I67" s="27">
        <f t="shared" si="1"/>
        <v>6</v>
      </c>
      <c r="J67" s="27">
        <f t="shared" si="1"/>
        <v>5</v>
      </c>
      <c r="K67" s="27">
        <f t="shared" si="1"/>
        <v>9</v>
      </c>
      <c r="L67" s="27">
        <f t="shared" si="1"/>
        <v>12</v>
      </c>
      <c r="M67" s="27">
        <f t="shared" si="1"/>
        <v>10</v>
      </c>
      <c r="N67" s="27">
        <f t="shared" si="1"/>
        <v>4</v>
      </c>
      <c r="O67" s="19"/>
    </row>
    <row r="68" spans="1:15" ht="12.75" hidden="1" x14ac:dyDescent="0.2">
      <c r="A68" s="38">
        <v>2009</v>
      </c>
      <c r="B68" s="2"/>
      <c r="C68" s="27">
        <f t="shared" si="1"/>
        <v>2</v>
      </c>
      <c r="D68" s="27">
        <f t="shared" si="1"/>
        <v>3</v>
      </c>
      <c r="E68" s="27">
        <f t="shared" si="1"/>
        <v>4</v>
      </c>
      <c r="F68" s="27">
        <f t="shared" si="1"/>
        <v>6</v>
      </c>
      <c r="G68" s="27">
        <f t="shared" si="1"/>
        <v>10</v>
      </c>
      <c r="H68" s="27">
        <f t="shared" si="1"/>
        <v>9</v>
      </c>
      <c r="I68" s="27">
        <f t="shared" si="1"/>
        <v>7</v>
      </c>
      <c r="J68" s="27">
        <f t="shared" si="1"/>
        <v>5</v>
      </c>
      <c r="K68" s="27">
        <f t="shared" si="1"/>
        <v>8</v>
      </c>
      <c r="L68" s="27">
        <f t="shared" si="1"/>
        <v>11</v>
      </c>
      <c r="M68" s="27">
        <f t="shared" si="1"/>
        <v>12</v>
      </c>
      <c r="N68" s="27">
        <f t="shared" si="1"/>
        <v>1</v>
      </c>
      <c r="O68" s="19"/>
    </row>
    <row r="69" spans="1:15" ht="12.75" hidden="1" x14ac:dyDescent="0.2">
      <c r="A69" s="39">
        <v>2010</v>
      </c>
      <c r="B69" s="18"/>
      <c r="C69" s="28">
        <f t="shared" si="1"/>
        <v>3</v>
      </c>
      <c r="D69" s="28">
        <f t="shared" si="1"/>
        <v>2</v>
      </c>
      <c r="E69" s="28">
        <f t="shared" si="1"/>
        <v>4</v>
      </c>
      <c r="F69" s="28">
        <f t="shared" si="1"/>
        <v>5</v>
      </c>
      <c r="G69" s="28">
        <f t="shared" si="1"/>
        <v>10</v>
      </c>
      <c r="H69" s="28">
        <f t="shared" si="1"/>
        <v>9</v>
      </c>
      <c r="I69" s="28">
        <f t="shared" si="1"/>
        <v>7</v>
      </c>
      <c r="J69" s="28">
        <f t="shared" si="1"/>
        <v>6</v>
      </c>
      <c r="K69" s="28">
        <f t="shared" si="1"/>
        <v>8</v>
      </c>
      <c r="L69" s="28">
        <f t="shared" si="1"/>
        <v>12</v>
      </c>
      <c r="M69" s="28">
        <f t="shared" si="1"/>
        <v>11</v>
      </c>
      <c r="N69" s="28">
        <f t="shared" si="1"/>
        <v>1</v>
      </c>
      <c r="O69" s="20"/>
    </row>
    <row r="70" spans="1:15" ht="11.25" hidden="1" customHeight="1" x14ac:dyDescent="0.2">
      <c r="C70" s="1"/>
      <c r="D70" s="1"/>
      <c r="E70" s="1"/>
      <c r="F70" s="1"/>
      <c r="G70" s="9"/>
      <c r="H70" s="1"/>
      <c r="I70" s="1"/>
      <c r="J70" s="1"/>
      <c r="K70" s="1"/>
      <c r="L70" s="1"/>
      <c r="M70" s="1"/>
      <c r="N70" s="1"/>
      <c r="O70" s="1"/>
    </row>
    <row r="71" spans="1:15" ht="12.75" hidden="1" x14ac:dyDescent="0.2">
      <c r="A71" s="29" t="s">
        <v>13</v>
      </c>
      <c r="C71" s="14" t="s">
        <v>23</v>
      </c>
      <c r="D71" s="12" t="s">
        <v>18</v>
      </c>
      <c r="E71" s="15" t="s">
        <v>22</v>
      </c>
      <c r="F71" s="13" t="s">
        <v>19</v>
      </c>
    </row>
    <row r="72" spans="1:15" ht="15" hidden="1" x14ac:dyDescent="0.25">
      <c r="A72" s="64" t="s">
        <v>43</v>
      </c>
    </row>
    <row r="73" spans="1:15" ht="11.25" hidden="1" customHeight="1" x14ac:dyDescent="0.25">
      <c r="A73" s="36" t="s">
        <v>32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8"/>
    </row>
    <row r="74" spans="1:15" ht="11.25" hidden="1" customHeight="1" thickBot="1" x14ac:dyDescent="0.25">
      <c r="A74" s="40" t="s">
        <v>17</v>
      </c>
      <c r="B74" s="21"/>
      <c r="C74" s="22" t="s">
        <v>1</v>
      </c>
      <c r="D74" s="22" t="s">
        <v>2</v>
      </c>
      <c r="E74" s="22" t="s">
        <v>3</v>
      </c>
      <c r="F74" s="22" t="s">
        <v>4</v>
      </c>
      <c r="G74" s="23" t="s">
        <v>5</v>
      </c>
      <c r="H74" s="23" t="s">
        <v>6</v>
      </c>
      <c r="I74" s="23" t="s">
        <v>7</v>
      </c>
      <c r="J74" s="22" t="s">
        <v>8</v>
      </c>
      <c r="K74" s="23" t="s">
        <v>9</v>
      </c>
      <c r="L74" s="23" t="s">
        <v>10</v>
      </c>
      <c r="M74" s="23" t="s">
        <v>11</v>
      </c>
      <c r="N74" s="22" t="s">
        <v>12</v>
      </c>
      <c r="O74" s="24" t="s">
        <v>16</v>
      </c>
    </row>
    <row r="75" spans="1:15" ht="11.25" hidden="1" customHeight="1" x14ac:dyDescent="0.2">
      <c r="A75" s="41">
        <v>1987</v>
      </c>
      <c r="B75" s="4" t="s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40753.68</v>
      </c>
      <c r="M75" s="5">
        <v>105004.7</v>
      </c>
      <c r="N75" s="5">
        <v>415572.58</v>
      </c>
      <c r="O75" s="25">
        <v>561330.96</v>
      </c>
    </row>
    <row r="76" spans="1:15" ht="11.25" hidden="1" customHeight="1" x14ac:dyDescent="0.2">
      <c r="A76" s="38">
        <v>1988</v>
      </c>
      <c r="B76" s="2"/>
      <c r="C76" s="11">
        <v>463452.35</v>
      </c>
      <c r="D76" s="3">
        <v>472434.36</v>
      </c>
      <c r="E76" s="3">
        <v>409128.74</v>
      </c>
      <c r="F76" s="3">
        <v>142193.84</v>
      </c>
      <c r="G76" s="3">
        <v>87457.919999999998</v>
      </c>
      <c r="H76" s="3">
        <v>86997.35</v>
      </c>
      <c r="I76" s="3">
        <v>134911.25</v>
      </c>
      <c r="J76" s="3">
        <v>149556.70000000001</v>
      </c>
      <c r="K76" s="3">
        <v>94496.38</v>
      </c>
      <c r="L76" s="3">
        <v>59492.53</v>
      </c>
      <c r="M76" s="3">
        <v>97146.1</v>
      </c>
      <c r="N76" s="3">
        <v>433345.21</v>
      </c>
      <c r="O76" s="19">
        <v>2630612.73</v>
      </c>
    </row>
    <row r="77" spans="1:15" ht="11.25" hidden="1" customHeight="1" x14ac:dyDescent="0.2">
      <c r="A77" s="38">
        <v>1989</v>
      </c>
      <c r="B77" s="2"/>
      <c r="C77" s="3">
        <v>536836.18999999994</v>
      </c>
      <c r="D77" s="3">
        <v>499601.77</v>
      </c>
      <c r="E77" s="3">
        <v>470505.99</v>
      </c>
      <c r="F77" s="3">
        <v>162648.19</v>
      </c>
      <c r="G77" s="3">
        <v>78212.41</v>
      </c>
      <c r="H77" s="3">
        <v>98658.43</v>
      </c>
      <c r="I77" s="3">
        <v>152397.97</v>
      </c>
      <c r="J77" s="3">
        <v>173089.84</v>
      </c>
      <c r="K77" s="3">
        <v>133662.94</v>
      </c>
      <c r="L77" s="3">
        <v>71339.95</v>
      </c>
      <c r="M77" s="3">
        <v>107145.1</v>
      </c>
      <c r="N77" s="3">
        <v>462190.29</v>
      </c>
      <c r="O77" s="19">
        <v>2946289.07</v>
      </c>
    </row>
    <row r="78" spans="1:15" ht="11.25" hidden="1" customHeight="1" x14ac:dyDescent="0.2">
      <c r="A78" s="38">
        <v>1990</v>
      </c>
      <c r="B78" s="2"/>
      <c r="C78" s="3">
        <v>439439.37</v>
      </c>
      <c r="D78" s="3">
        <v>545967.43999999994</v>
      </c>
      <c r="E78" s="3">
        <v>508021.44</v>
      </c>
      <c r="F78" s="3">
        <v>201558.86</v>
      </c>
      <c r="G78" s="3">
        <v>79244.399999999994</v>
      </c>
      <c r="H78" s="3">
        <v>112115.66</v>
      </c>
      <c r="I78" s="3">
        <v>154214.65</v>
      </c>
      <c r="J78" s="3">
        <v>194316.58</v>
      </c>
      <c r="K78" s="3">
        <v>117471.01</v>
      </c>
      <c r="L78" s="3">
        <v>67224.78</v>
      </c>
      <c r="M78" s="3">
        <v>50272.93</v>
      </c>
      <c r="N78" s="3">
        <v>294770.87</v>
      </c>
      <c r="O78" s="19">
        <v>2764617.99</v>
      </c>
    </row>
    <row r="79" spans="1:15" ht="11.25" hidden="1" customHeight="1" x14ac:dyDescent="0.2">
      <c r="A79" s="38">
        <v>1991</v>
      </c>
      <c r="B79" s="2"/>
      <c r="C79" s="3">
        <v>262914.59000000003</v>
      </c>
      <c r="D79" s="3">
        <v>123916.4</v>
      </c>
      <c r="E79" s="3">
        <v>245607.26</v>
      </c>
      <c r="F79" s="3">
        <v>242464.21</v>
      </c>
      <c r="G79" s="3">
        <v>95245.37</v>
      </c>
      <c r="H79" s="3">
        <v>114679.29</v>
      </c>
      <c r="I79" s="3">
        <v>184564.63</v>
      </c>
      <c r="J79" s="3">
        <v>232500.49</v>
      </c>
      <c r="K79" s="3">
        <v>131630.29</v>
      </c>
      <c r="L79" s="3">
        <v>73999.28</v>
      </c>
      <c r="M79" s="3">
        <v>112156.55</v>
      </c>
      <c r="N79" s="3">
        <v>375874.24</v>
      </c>
      <c r="O79" s="19">
        <v>2195552.6</v>
      </c>
    </row>
    <row r="80" spans="1:15" ht="11.25" hidden="1" customHeight="1" x14ac:dyDescent="0.2">
      <c r="A80" s="38">
        <v>1992</v>
      </c>
      <c r="B80" s="2"/>
      <c r="C80" s="3">
        <v>472900.33</v>
      </c>
      <c r="D80" s="3">
        <v>510134.53</v>
      </c>
      <c r="E80" s="3">
        <v>406748.64</v>
      </c>
      <c r="F80" s="3">
        <v>218546.43</v>
      </c>
      <c r="G80" s="3">
        <v>79760.070000000007</v>
      </c>
      <c r="H80" s="3">
        <v>143001.62</v>
      </c>
      <c r="I80" s="3">
        <v>211053.18</v>
      </c>
      <c r="J80" s="3">
        <v>246729.05</v>
      </c>
      <c r="K80" s="3">
        <v>148611.32</v>
      </c>
      <c r="L80" s="3">
        <v>83024.850000000006</v>
      </c>
      <c r="M80" s="3">
        <v>99553.89</v>
      </c>
      <c r="N80" s="3">
        <v>447468.29</v>
      </c>
      <c r="O80" s="19">
        <v>3067532.2</v>
      </c>
    </row>
    <row r="81" spans="1:15" ht="11.25" hidden="1" customHeight="1" x14ac:dyDescent="0.2">
      <c r="A81" s="38">
        <v>1993</v>
      </c>
      <c r="B81" s="2"/>
      <c r="C81" s="3">
        <v>506131.61</v>
      </c>
      <c r="D81" s="3">
        <v>495873.92</v>
      </c>
      <c r="E81" s="3">
        <v>439404.44</v>
      </c>
      <c r="F81" s="3">
        <v>278635.56</v>
      </c>
      <c r="G81" s="3">
        <v>104313.03</v>
      </c>
      <c r="H81" s="3">
        <v>102580.43</v>
      </c>
      <c r="I81" s="3">
        <v>259693.13</v>
      </c>
      <c r="J81" s="3">
        <v>277157.59000000003</v>
      </c>
      <c r="K81" s="3">
        <v>174886.59</v>
      </c>
      <c r="L81" s="3">
        <v>87942.81</v>
      </c>
      <c r="M81" s="3">
        <v>76242.34</v>
      </c>
      <c r="N81" s="3">
        <v>457775.51</v>
      </c>
      <c r="O81" s="19">
        <v>3260636.96</v>
      </c>
    </row>
    <row r="82" spans="1:15" ht="11.25" hidden="1" customHeight="1" x14ac:dyDescent="0.2">
      <c r="A82" s="38">
        <v>1994</v>
      </c>
      <c r="B82" s="2"/>
      <c r="C82" s="3">
        <v>298395.3</v>
      </c>
      <c r="D82" s="3">
        <v>374297.05</v>
      </c>
      <c r="E82" s="3">
        <v>409666.02</v>
      </c>
      <c r="F82" s="3">
        <v>193356.27</v>
      </c>
      <c r="G82" s="3">
        <v>96701.87</v>
      </c>
      <c r="H82" s="3">
        <v>138342.51</v>
      </c>
      <c r="I82" s="3">
        <v>278770.78999999998</v>
      </c>
      <c r="J82" s="3">
        <v>298439.09999999998</v>
      </c>
      <c r="K82" s="3">
        <v>180416.91</v>
      </c>
      <c r="L82" s="3">
        <v>86567.88</v>
      </c>
      <c r="M82" s="3">
        <v>123967.09</v>
      </c>
      <c r="N82" s="3">
        <v>562631.86</v>
      </c>
      <c r="O82" s="19">
        <v>3041552.65</v>
      </c>
    </row>
    <row r="83" spans="1:15" ht="11.25" hidden="1" customHeight="1" x14ac:dyDescent="0.2">
      <c r="A83" s="38">
        <v>1995</v>
      </c>
      <c r="B83" s="2"/>
      <c r="C83" s="3">
        <v>483553.57</v>
      </c>
      <c r="D83" s="3">
        <v>586796.65</v>
      </c>
      <c r="E83" s="3">
        <v>491492.17</v>
      </c>
      <c r="F83" s="3">
        <v>353132.56</v>
      </c>
      <c r="G83" s="3">
        <v>150945.68</v>
      </c>
      <c r="H83" s="3">
        <v>144365.35999999999</v>
      </c>
      <c r="I83" s="3">
        <v>324951.67999999999</v>
      </c>
      <c r="J83" s="3">
        <v>360239.95</v>
      </c>
      <c r="K83" s="3">
        <v>208353.46</v>
      </c>
      <c r="L83" s="3">
        <v>114480.21</v>
      </c>
      <c r="M83" s="3">
        <v>76169.86</v>
      </c>
      <c r="N83" s="3">
        <v>520877.66</v>
      </c>
      <c r="O83" s="19">
        <v>3815358.81</v>
      </c>
    </row>
    <row r="84" spans="1:15" ht="11.25" hidden="1" customHeight="1" x14ac:dyDescent="0.2">
      <c r="A84" s="38">
        <v>1996</v>
      </c>
      <c r="B84" s="2"/>
      <c r="C84" s="3">
        <v>429304.67</v>
      </c>
      <c r="D84" s="3">
        <v>584715.31000000006</v>
      </c>
      <c r="E84" s="3">
        <v>558667.42000000004</v>
      </c>
      <c r="F84" s="3">
        <v>299529.21999999997</v>
      </c>
      <c r="G84" s="3">
        <v>113355.93</v>
      </c>
      <c r="H84" s="3">
        <v>165718.5</v>
      </c>
      <c r="I84" s="3">
        <v>302001.43</v>
      </c>
      <c r="J84" s="3">
        <v>403057.34</v>
      </c>
      <c r="K84" s="3">
        <v>213808.91</v>
      </c>
      <c r="L84" s="3">
        <v>115827.65</v>
      </c>
      <c r="M84" s="3">
        <v>143193.81</v>
      </c>
      <c r="N84" s="3">
        <v>587674.38</v>
      </c>
      <c r="O84" s="19">
        <v>3916854.57</v>
      </c>
    </row>
    <row r="85" spans="1:15" ht="11.25" hidden="1" customHeight="1" x14ac:dyDescent="0.2">
      <c r="A85" s="38">
        <v>1997</v>
      </c>
      <c r="B85" s="2"/>
      <c r="C85" s="3">
        <v>610952.32999999996</v>
      </c>
      <c r="D85" s="3">
        <v>605804.41</v>
      </c>
      <c r="E85" s="3">
        <v>543248.56999999995</v>
      </c>
      <c r="F85" s="3">
        <v>248144.98</v>
      </c>
      <c r="G85" s="3">
        <v>113560.4</v>
      </c>
      <c r="H85" s="3">
        <v>156371.32999999999</v>
      </c>
      <c r="I85" s="3">
        <v>352158.87</v>
      </c>
      <c r="J85" s="3">
        <v>432903.87</v>
      </c>
      <c r="K85" s="3">
        <v>197028.68</v>
      </c>
      <c r="L85" s="3">
        <v>105350.97</v>
      </c>
      <c r="M85" s="3">
        <v>149324.69</v>
      </c>
      <c r="N85" s="3">
        <v>607510.18000000005</v>
      </c>
      <c r="O85" s="19">
        <v>4122359.28</v>
      </c>
    </row>
    <row r="86" spans="1:15" ht="11.25" hidden="1" customHeight="1" x14ac:dyDescent="0.2">
      <c r="A86" s="38">
        <v>1998</v>
      </c>
      <c r="B86" s="2"/>
      <c r="C86" s="3">
        <v>607180.06000000006</v>
      </c>
      <c r="D86" s="3">
        <v>574591.09</v>
      </c>
      <c r="E86" s="3">
        <v>486660.61</v>
      </c>
      <c r="F86" s="3">
        <v>404566.6</v>
      </c>
      <c r="G86" s="3">
        <v>150222.07999999999</v>
      </c>
      <c r="H86" s="3">
        <v>150992.16</v>
      </c>
      <c r="I86" s="3">
        <v>340016.04</v>
      </c>
      <c r="J86" s="3">
        <v>407522.85</v>
      </c>
      <c r="K86" s="3">
        <v>229102</v>
      </c>
      <c r="L86" s="3">
        <v>116912.65</v>
      </c>
      <c r="M86" s="3">
        <v>144637.32</v>
      </c>
      <c r="N86" s="3">
        <v>651639.52</v>
      </c>
      <c r="O86" s="19">
        <v>4264042.9800000004</v>
      </c>
    </row>
    <row r="87" spans="1:15" ht="11.25" hidden="1" customHeight="1" x14ac:dyDescent="0.2">
      <c r="A87" s="38">
        <v>1999</v>
      </c>
      <c r="B87" s="2"/>
      <c r="C87" s="3">
        <v>578887.85</v>
      </c>
      <c r="D87" s="3">
        <v>637336.27</v>
      </c>
      <c r="E87" s="3">
        <v>556415.39</v>
      </c>
      <c r="F87" s="3">
        <v>396724.69</v>
      </c>
      <c r="G87" s="3">
        <v>136734.04</v>
      </c>
      <c r="H87" s="3">
        <v>187187.06</v>
      </c>
      <c r="I87" s="3">
        <v>396679.72</v>
      </c>
      <c r="J87" s="3">
        <v>464124.57</v>
      </c>
      <c r="K87" s="3">
        <v>251723.76</v>
      </c>
      <c r="L87" s="3">
        <v>140037.32</v>
      </c>
      <c r="M87" s="3">
        <v>135947.99</v>
      </c>
      <c r="N87" s="3">
        <v>648915.36</v>
      </c>
      <c r="O87" s="19">
        <v>4530714.0199999996</v>
      </c>
    </row>
    <row r="88" spans="1:15" ht="11.25" hidden="1" customHeight="1" x14ac:dyDescent="0.2">
      <c r="A88" s="38">
        <v>2000</v>
      </c>
      <c r="B88" s="2"/>
      <c r="C88" s="17">
        <v>570569.21</v>
      </c>
      <c r="D88" s="17">
        <v>762658.81</v>
      </c>
      <c r="E88" s="17">
        <v>698743.16</v>
      </c>
      <c r="F88" s="17">
        <v>508698.68</v>
      </c>
      <c r="G88" s="17">
        <v>179419.37</v>
      </c>
      <c r="H88" s="17">
        <v>233604.31</v>
      </c>
      <c r="I88" s="17">
        <v>405034.16</v>
      </c>
      <c r="J88" s="17">
        <v>491075.05</v>
      </c>
      <c r="K88" s="17">
        <v>293213.24</v>
      </c>
      <c r="L88" s="17">
        <v>149582.57</v>
      </c>
      <c r="M88" s="17">
        <v>239611.35</v>
      </c>
      <c r="N88" s="17">
        <v>750499.73</v>
      </c>
      <c r="O88" s="19">
        <v>5282709.6399999997</v>
      </c>
    </row>
    <row r="89" spans="1:15" ht="11.25" hidden="1" customHeight="1" x14ac:dyDescent="0.2">
      <c r="A89" s="38">
        <v>2001</v>
      </c>
      <c r="B89" s="2"/>
      <c r="C89" s="17">
        <v>728716.76</v>
      </c>
      <c r="D89" s="17">
        <v>792083.1</v>
      </c>
      <c r="E89" s="17">
        <v>783561.72</v>
      </c>
      <c r="F89" s="17">
        <v>519773.32</v>
      </c>
      <c r="G89" s="17">
        <v>161990.51</v>
      </c>
      <c r="H89" s="17">
        <v>222625.44</v>
      </c>
      <c r="I89" s="17">
        <v>413926.97</v>
      </c>
      <c r="J89" s="17">
        <v>504875.25</v>
      </c>
      <c r="K89" s="17">
        <v>234002.88</v>
      </c>
      <c r="L89" s="17">
        <v>140746.62</v>
      </c>
      <c r="M89" s="17">
        <v>194773.08</v>
      </c>
      <c r="N89" s="17">
        <v>797595.82</v>
      </c>
      <c r="O89" s="19">
        <v>5494671.4699999997</v>
      </c>
    </row>
    <row r="90" spans="1:15" ht="11.25" hidden="1" customHeight="1" x14ac:dyDescent="0.2">
      <c r="A90" s="38">
        <v>2002</v>
      </c>
      <c r="B90" s="2"/>
      <c r="C90" s="17">
        <v>946643.95</v>
      </c>
      <c r="D90" s="17">
        <v>931138.59</v>
      </c>
      <c r="E90" s="17">
        <v>951762.57</v>
      </c>
      <c r="F90" s="17">
        <v>485695.12</v>
      </c>
      <c r="G90" s="17">
        <v>158154.64000000001</v>
      </c>
      <c r="H90" s="17">
        <v>237507.39</v>
      </c>
      <c r="I90" s="17">
        <v>501759.65</v>
      </c>
      <c r="J90" s="17">
        <v>632035.69999999995</v>
      </c>
      <c r="K90" s="17">
        <v>277920.25</v>
      </c>
      <c r="L90" s="17">
        <v>163978.66</v>
      </c>
      <c r="M90" s="17">
        <v>272821.28999999998</v>
      </c>
      <c r="N90" s="17">
        <v>1070225.57</v>
      </c>
      <c r="O90" s="19">
        <v>6629643.3799999999</v>
      </c>
    </row>
    <row r="91" spans="1:15" ht="11.25" hidden="1" customHeight="1" x14ac:dyDescent="0.2">
      <c r="A91" s="38">
        <v>2003</v>
      </c>
      <c r="B91" s="2"/>
      <c r="C91" s="17">
        <v>1314261.8400000001</v>
      </c>
      <c r="D91" s="17">
        <v>1172804.77</v>
      </c>
      <c r="E91" s="17">
        <v>1002502.67</v>
      </c>
      <c r="F91" s="17">
        <v>709244.59</v>
      </c>
      <c r="G91" s="17">
        <v>250928.83</v>
      </c>
      <c r="H91" s="17">
        <v>297610.82</v>
      </c>
      <c r="I91" s="17">
        <v>502061.43</v>
      </c>
      <c r="J91" s="17">
        <v>681954.07</v>
      </c>
      <c r="K91" s="17">
        <v>279238.49</v>
      </c>
      <c r="L91" s="17">
        <v>181952.41</v>
      </c>
      <c r="M91" s="17">
        <v>337244.42</v>
      </c>
      <c r="N91" s="17">
        <v>1202881.23</v>
      </c>
      <c r="O91" s="19">
        <v>7932685.5700000003</v>
      </c>
    </row>
    <row r="92" spans="1:15" ht="11.25" hidden="1" customHeight="1" x14ac:dyDescent="0.2">
      <c r="A92" s="38">
        <v>2004</v>
      </c>
      <c r="B92" s="2"/>
      <c r="C92" s="17">
        <v>1467543.3</v>
      </c>
      <c r="D92" s="17">
        <v>1440352.9</v>
      </c>
      <c r="E92" s="17">
        <v>1010021.49</v>
      </c>
      <c r="F92" s="17">
        <v>759880.69</v>
      </c>
      <c r="G92" s="17">
        <v>216661.7</v>
      </c>
      <c r="H92" s="17">
        <v>304198.32</v>
      </c>
      <c r="I92" s="17">
        <v>548171.39</v>
      </c>
      <c r="J92" s="17">
        <v>649274.77</v>
      </c>
      <c r="K92" s="17">
        <v>346240.77</v>
      </c>
      <c r="L92" s="17">
        <v>218488.29</v>
      </c>
      <c r="M92" s="17">
        <v>562771.69999999995</v>
      </c>
      <c r="N92" s="17">
        <v>1536988.98</v>
      </c>
      <c r="O92" s="19">
        <v>9060594.3000000007</v>
      </c>
    </row>
    <row r="93" spans="1:15" ht="11.25" hidden="1" customHeight="1" x14ac:dyDescent="0.2">
      <c r="A93" s="43">
        <v>2005</v>
      </c>
      <c r="B93" s="44"/>
      <c r="C93" s="45">
        <v>1560023.19</v>
      </c>
      <c r="D93" s="45">
        <v>1452363.59</v>
      </c>
      <c r="E93" s="45">
        <v>1380408.13</v>
      </c>
      <c r="F93" s="45">
        <v>761041.73</v>
      </c>
      <c r="G93" s="45">
        <v>319430.55</v>
      </c>
      <c r="H93" s="45">
        <v>302440.63</v>
      </c>
      <c r="I93" s="45">
        <v>596232.93000000005</v>
      </c>
      <c r="J93" s="45">
        <v>691489.42</v>
      </c>
      <c r="K93" s="45">
        <v>399704.03</v>
      </c>
      <c r="L93" s="45">
        <v>206557.29</v>
      </c>
      <c r="M93" s="45">
        <v>352820.09</v>
      </c>
      <c r="N93" s="45">
        <v>1496933.21</v>
      </c>
      <c r="O93" s="46">
        <v>9519444.7899999991</v>
      </c>
    </row>
    <row r="94" spans="1:15" ht="11.25" hidden="1" customHeight="1" x14ac:dyDescent="0.2">
      <c r="A94" s="47">
        <v>2006</v>
      </c>
      <c r="B94" s="48"/>
      <c r="C94" s="49">
        <v>1826143.45</v>
      </c>
      <c r="D94" s="50">
        <v>1658132.64</v>
      </c>
      <c r="E94" s="50">
        <v>1453623.67</v>
      </c>
      <c r="F94" s="50">
        <v>1276119.56</v>
      </c>
      <c r="G94" s="50">
        <v>341666.52</v>
      </c>
      <c r="H94" s="50">
        <v>350521.86</v>
      </c>
      <c r="I94" s="50">
        <v>633260.72</v>
      </c>
      <c r="J94" s="50">
        <v>718340.28</v>
      </c>
      <c r="K94" s="50">
        <v>404528.27</v>
      </c>
      <c r="L94" s="50">
        <v>240540.81</v>
      </c>
      <c r="M94" s="50">
        <v>275920.8</v>
      </c>
      <c r="N94" s="50">
        <v>1455122.28</v>
      </c>
      <c r="O94" s="49">
        <v>10633920.859999999</v>
      </c>
    </row>
    <row r="95" spans="1:15" ht="11.25" hidden="1" customHeight="1" x14ac:dyDescent="0.2">
      <c r="A95" s="47">
        <v>2007</v>
      </c>
      <c r="B95" s="48"/>
      <c r="C95" s="50">
        <v>1694967.43</v>
      </c>
      <c r="D95" s="50">
        <v>1583253.15</v>
      </c>
      <c r="E95" s="50">
        <v>1249350.3500000001</v>
      </c>
      <c r="F95" s="50">
        <v>765323.31</v>
      </c>
      <c r="G95" s="50">
        <v>241871.46</v>
      </c>
      <c r="H95" s="50">
        <v>363885.65</v>
      </c>
      <c r="I95" s="50">
        <v>690020.49</v>
      </c>
      <c r="J95" s="50">
        <v>850957.86</v>
      </c>
      <c r="K95" s="50">
        <v>382540.55</v>
      </c>
      <c r="L95" s="50">
        <v>191090.25</v>
      </c>
      <c r="M95" s="50">
        <v>202901.75</v>
      </c>
      <c r="N95" s="50">
        <v>1533029.98</v>
      </c>
      <c r="O95" s="50">
        <f>SUM(C95:N95)</f>
        <v>9749192.2300000004</v>
      </c>
    </row>
    <row r="96" spans="1:15" ht="11.25" hidden="1" customHeight="1" x14ac:dyDescent="0.2">
      <c r="A96" s="47">
        <v>2008</v>
      </c>
      <c r="B96" s="48"/>
      <c r="C96" s="50">
        <v>1926938.65</v>
      </c>
      <c r="D96" s="50">
        <v>1890815.42</v>
      </c>
      <c r="E96" s="50">
        <v>1732074.91</v>
      </c>
      <c r="F96" s="50">
        <v>612594.14</v>
      </c>
      <c r="G96" s="50">
        <v>245108.26</v>
      </c>
      <c r="H96" s="50">
        <v>410409.49</v>
      </c>
      <c r="I96" s="50">
        <v>726330.75</v>
      </c>
      <c r="J96" s="50">
        <v>973546.78</v>
      </c>
      <c r="K96" s="50">
        <v>379749.07</v>
      </c>
      <c r="L96" s="50">
        <v>232426.88</v>
      </c>
      <c r="M96" s="50">
        <v>247159.02</v>
      </c>
      <c r="N96" s="50">
        <v>1591895.82</v>
      </c>
      <c r="O96" s="50">
        <f>SUM(C96:N96)</f>
        <v>10969049.189999999</v>
      </c>
    </row>
    <row r="97" spans="1:17" ht="11.25" hidden="1" customHeight="1" x14ac:dyDescent="0.2">
      <c r="A97" s="47">
        <v>2009</v>
      </c>
      <c r="B97" s="48"/>
      <c r="C97" s="50">
        <v>1561522.76</v>
      </c>
      <c r="D97" s="50">
        <v>1477336.19</v>
      </c>
      <c r="E97" s="50">
        <v>1028557.53</v>
      </c>
      <c r="F97" s="50">
        <v>774077.97</v>
      </c>
      <c r="G97" s="50">
        <v>299319.63</v>
      </c>
      <c r="H97" s="50">
        <v>369381.79</v>
      </c>
      <c r="I97" s="50">
        <v>745573.43</v>
      </c>
      <c r="J97" s="50">
        <v>866031.41</v>
      </c>
      <c r="K97" s="50">
        <v>421338.13</v>
      </c>
      <c r="L97" s="50">
        <v>210612.61</v>
      </c>
      <c r="M97" s="50">
        <v>208008.12</v>
      </c>
      <c r="N97" s="50">
        <v>1739523.1</v>
      </c>
      <c r="O97" s="50">
        <f>SUM(C97:N97)</f>
        <v>9701282.6699999999</v>
      </c>
    </row>
    <row r="98" spans="1:17" ht="19.5" hidden="1" customHeight="1" x14ac:dyDescent="0.2">
      <c r="A98" s="47">
        <v>2010</v>
      </c>
      <c r="B98" s="48"/>
      <c r="C98" s="50">
        <v>1680971.53</v>
      </c>
      <c r="D98" s="50">
        <v>1687681.97</v>
      </c>
      <c r="E98" s="50">
        <v>1263119.3999999999</v>
      </c>
      <c r="F98" s="50">
        <v>971474.32</v>
      </c>
      <c r="G98" s="50">
        <v>303678.87</v>
      </c>
      <c r="H98" s="50">
        <v>383274.03</v>
      </c>
      <c r="I98" s="50">
        <v>833809.03</v>
      </c>
      <c r="J98" s="50">
        <v>934572.21</v>
      </c>
      <c r="K98" s="50">
        <v>471611.94</v>
      </c>
      <c r="L98" s="50">
        <v>229609.13</v>
      </c>
      <c r="M98" s="50">
        <v>302313.64</v>
      </c>
      <c r="N98" s="50">
        <v>1948907.85</v>
      </c>
      <c r="O98" s="50">
        <f>SUM(C98:N98)</f>
        <v>11011023.920000002</v>
      </c>
    </row>
    <row r="99" spans="1:17" ht="16.5" hidden="1" customHeight="1" x14ac:dyDescent="0.2">
      <c r="A99" s="47">
        <v>2011</v>
      </c>
      <c r="B99" s="51" t="s">
        <v>30</v>
      </c>
      <c r="C99" s="50">
        <v>1685441.88</v>
      </c>
      <c r="D99" s="50">
        <v>1672979.16</v>
      </c>
      <c r="E99" s="50">
        <v>1338510.8799999999</v>
      </c>
      <c r="F99" s="50">
        <v>985216.2</v>
      </c>
      <c r="G99" s="50">
        <v>356001.11</v>
      </c>
      <c r="H99" s="50">
        <v>450743.67</v>
      </c>
      <c r="I99" s="50">
        <v>947128.92</v>
      </c>
      <c r="J99" s="50">
        <v>1061916.97</v>
      </c>
      <c r="K99" s="50">
        <v>565779.42000000004</v>
      </c>
      <c r="L99" s="52">
        <v>278211.78000000003</v>
      </c>
      <c r="M99" s="52">
        <v>315260.75</v>
      </c>
      <c r="N99" s="52">
        <v>1667285.49</v>
      </c>
      <c r="O99" s="50">
        <f>SUM(C99:N99)</f>
        <v>11324476.23</v>
      </c>
    </row>
    <row r="100" spans="1:17" s="57" customFormat="1" ht="18" hidden="1" customHeight="1" x14ac:dyDescent="0.2">
      <c r="A100" s="53" t="s">
        <v>24</v>
      </c>
      <c r="B100" s="54"/>
      <c r="C100" s="55">
        <f t="shared" ref="C100:O100" si="2">AVERAGE(C94:C99)</f>
        <v>1729330.95</v>
      </c>
      <c r="D100" s="56">
        <f t="shared" si="2"/>
        <v>1661699.7549999999</v>
      </c>
      <c r="E100" s="56">
        <f t="shared" si="2"/>
        <v>1344206.1233333333</v>
      </c>
      <c r="F100" s="56">
        <f t="shared" si="2"/>
        <v>897467.58333333349</v>
      </c>
      <c r="G100" s="56">
        <f t="shared" si="2"/>
        <v>297940.97500000003</v>
      </c>
      <c r="H100" s="56">
        <f t="shared" si="2"/>
        <v>388036.08166666672</v>
      </c>
      <c r="I100" s="56">
        <f t="shared" si="2"/>
        <v>762687.22333333327</v>
      </c>
      <c r="J100" s="56">
        <f t="shared" si="2"/>
        <v>900894.25166666659</v>
      </c>
      <c r="K100" s="56">
        <f t="shared" si="2"/>
        <v>437591.23</v>
      </c>
      <c r="L100" s="56">
        <f t="shared" si="2"/>
        <v>230415.24333333332</v>
      </c>
      <c r="M100" s="56">
        <f t="shared" si="2"/>
        <v>258594.01333333334</v>
      </c>
      <c r="N100" s="56">
        <f t="shared" si="2"/>
        <v>1655960.7533333332</v>
      </c>
      <c r="O100" s="55">
        <f t="shared" si="2"/>
        <v>10564824.183333335</v>
      </c>
    </row>
    <row r="101" spans="1:17" ht="15" hidden="1" customHeight="1" x14ac:dyDescent="0.2">
      <c r="A101" s="42" t="s">
        <v>31</v>
      </c>
      <c r="D101" s="1"/>
      <c r="E101" s="1"/>
      <c r="F101" s="1"/>
      <c r="G101" s="1"/>
      <c r="H101" s="1"/>
      <c r="I101" s="1"/>
      <c r="J101" s="1" t="s">
        <v>20</v>
      </c>
      <c r="K101" s="1"/>
      <c r="L101" s="1"/>
      <c r="M101" s="1"/>
      <c r="N101" s="1"/>
      <c r="O101" s="1"/>
    </row>
    <row r="103" spans="1:17" ht="33.75" customHeight="1" x14ac:dyDescent="0.2">
      <c r="A103" s="105" t="s">
        <v>124</v>
      </c>
    </row>
    <row r="104" spans="1:17" ht="15.75" x14ac:dyDescent="0.25">
      <c r="A104" s="36" t="s">
        <v>33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8"/>
    </row>
    <row r="105" spans="1:17" ht="12.75" x14ac:dyDescent="0.2">
      <c r="A105" s="58" t="s">
        <v>17</v>
      </c>
      <c r="B105" s="59"/>
      <c r="C105" s="60" t="s">
        <v>7</v>
      </c>
      <c r="D105" s="61" t="s">
        <v>8</v>
      </c>
      <c r="E105" s="60" t="s">
        <v>9</v>
      </c>
      <c r="F105" s="60" t="s">
        <v>10</v>
      </c>
      <c r="G105" s="60" t="s">
        <v>11</v>
      </c>
      <c r="H105" s="61" t="s">
        <v>12</v>
      </c>
      <c r="I105" s="61" t="s">
        <v>1</v>
      </c>
      <c r="J105" s="61" t="s">
        <v>2</v>
      </c>
      <c r="K105" s="61" t="s">
        <v>3</v>
      </c>
      <c r="L105" s="61" t="s">
        <v>4</v>
      </c>
      <c r="M105" s="60" t="s">
        <v>5</v>
      </c>
      <c r="N105" s="60" t="s">
        <v>6</v>
      </c>
      <c r="O105" s="24" t="s">
        <v>16</v>
      </c>
    </row>
    <row r="106" spans="1:17" ht="12.75" x14ac:dyDescent="0.2">
      <c r="A106" s="29" t="s">
        <v>102</v>
      </c>
      <c r="C106" s="137">
        <v>0</v>
      </c>
      <c r="D106" s="137">
        <v>0</v>
      </c>
      <c r="E106" s="137">
        <v>0</v>
      </c>
      <c r="F106" s="137">
        <v>0</v>
      </c>
      <c r="G106" s="137">
        <v>0</v>
      </c>
      <c r="H106" s="137">
        <v>0</v>
      </c>
      <c r="I106" s="137">
        <v>344251.27</v>
      </c>
      <c r="J106" s="137">
        <v>519924.56</v>
      </c>
      <c r="K106" s="137">
        <v>524786.5</v>
      </c>
      <c r="L106" s="137">
        <v>302083.94</v>
      </c>
      <c r="M106" s="137">
        <v>127375.57</v>
      </c>
      <c r="N106" s="137">
        <v>198326.37</v>
      </c>
      <c r="O106" s="50">
        <f t="shared" ref="O106" si="3">SUM(C106:N106)</f>
        <v>2016748.21</v>
      </c>
      <c r="Q106" s="1"/>
    </row>
    <row r="107" spans="1:17" ht="12.75" x14ac:dyDescent="0.2">
      <c r="A107" s="47" t="s">
        <v>40</v>
      </c>
      <c r="C107" s="121">
        <f>SUM(C106:C106)/O106</f>
        <v>0</v>
      </c>
      <c r="D107" s="121">
        <f t="shared" ref="D107" si="4">SUM(D106:D106)/O106</f>
        <v>0</v>
      </c>
      <c r="E107" s="121">
        <f t="shared" ref="E107" si="5">SUM(E106:E106)/O106</f>
        <v>0</v>
      </c>
      <c r="F107" s="121">
        <f t="shared" ref="F107" si="6">SUM(F106:F106)/O106</f>
        <v>0</v>
      </c>
      <c r="G107" s="121">
        <f t="shared" ref="G107" si="7">SUM(G106:G106)/O106</f>
        <v>0</v>
      </c>
      <c r="H107" s="121">
        <f t="shared" ref="H107" si="8">SUM(H106:H106)/O106</f>
        <v>0</v>
      </c>
      <c r="I107" s="121">
        <f t="shared" ref="I107" si="9">SUM(I106:I106)/O106</f>
        <v>0.17069620703915242</v>
      </c>
      <c r="J107" s="121">
        <f t="shared" ref="J107" si="10">SUM(J106:J106)/O106</f>
        <v>0.25780340719875983</v>
      </c>
      <c r="K107" s="121">
        <f t="shared" ref="K107" si="11">SUM(K106:K106)/O106</f>
        <v>0.26021418905833565</v>
      </c>
      <c r="L107" s="121">
        <f t="shared" ref="L107" si="12">SUM(L106:L106)/O106</f>
        <v>0.14978763263659969</v>
      </c>
      <c r="M107" s="121">
        <f t="shared" ref="M107" si="13">SUM(M106:M106)/O106</f>
        <v>6.3158885858140917E-2</v>
      </c>
      <c r="N107" s="121">
        <f t="shared" ref="N107" si="14">SUM(N106:N106)/O106</f>
        <v>9.833967820901153E-2</v>
      </c>
      <c r="O107" s="165">
        <f>SUM(I107:N107)</f>
        <v>1</v>
      </c>
      <c r="Q107" s="1"/>
    </row>
    <row r="108" spans="1:17" ht="12.75" x14ac:dyDescent="0.2">
      <c r="A108" s="29" t="s">
        <v>103</v>
      </c>
      <c r="C108" s="137">
        <v>334525.59999999998</v>
      </c>
      <c r="D108" s="137">
        <v>300368.46000000002</v>
      </c>
      <c r="E108" s="137"/>
      <c r="F108" s="137"/>
      <c r="G108" s="137"/>
      <c r="H108" s="137"/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37">
        <v>0</v>
      </c>
      <c r="O108" s="50">
        <f t="shared" ref="O108" si="15">SUM(C108:N108)</f>
        <v>634894.06000000006</v>
      </c>
      <c r="Q108" s="1"/>
    </row>
    <row r="109" spans="1:17" ht="12.75" x14ac:dyDescent="0.2">
      <c r="A109" s="47" t="s">
        <v>40</v>
      </c>
      <c r="C109" s="121">
        <f>SUM(C108:C108)/O108</f>
        <v>0.52689987365766178</v>
      </c>
      <c r="D109" s="121">
        <f t="shared" ref="D109" si="16">SUM(D108:D108)/O108</f>
        <v>0.47310012634233811</v>
      </c>
      <c r="E109" s="121">
        <f t="shared" ref="E109" si="17">SUM(E108:E108)/O108</f>
        <v>0</v>
      </c>
      <c r="F109" s="121">
        <f t="shared" ref="F109" si="18">SUM(F108:F108)/O108</f>
        <v>0</v>
      </c>
      <c r="G109" s="121">
        <f t="shared" ref="G109" si="19">SUM(G108:G108)/O108</f>
        <v>0</v>
      </c>
      <c r="H109" s="121">
        <f t="shared" ref="H109" si="20">SUM(H108:H108)/O108</f>
        <v>0</v>
      </c>
      <c r="I109" s="121">
        <f t="shared" ref="I109" si="21">SUM(I108:I108)/O108</f>
        <v>0</v>
      </c>
      <c r="J109" s="121">
        <f t="shared" ref="J109" si="22">SUM(J108:J108)/O108</f>
        <v>0</v>
      </c>
      <c r="K109" s="121">
        <f t="shared" ref="K109" si="23">SUM(K108:K108)/O108</f>
        <v>0</v>
      </c>
      <c r="L109" s="121">
        <f t="shared" ref="L109" si="24">SUM(L108:L108)/O108</f>
        <v>0</v>
      </c>
      <c r="M109" s="121">
        <f t="shared" ref="M109" si="25">SUM(M108:M108)/O108</f>
        <v>0</v>
      </c>
      <c r="N109" s="121">
        <f t="shared" ref="N109" si="26">SUM(N108:N108)/O108</f>
        <v>0</v>
      </c>
      <c r="O109" s="50"/>
      <c r="Q109" s="1"/>
    </row>
    <row r="110" spans="1:17" ht="12.75" x14ac:dyDescent="0.2">
      <c r="A110" s="29" t="s">
        <v>104</v>
      </c>
      <c r="C110" s="137">
        <v>0</v>
      </c>
      <c r="D110" s="137">
        <v>0</v>
      </c>
      <c r="E110" s="137"/>
      <c r="F110" s="137"/>
      <c r="G110" s="137"/>
      <c r="H110" s="137"/>
      <c r="I110" s="137">
        <v>0</v>
      </c>
      <c r="J110" s="137">
        <v>0</v>
      </c>
      <c r="K110" s="137">
        <v>0</v>
      </c>
      <c r="L110" s="137">
        <v>0</v>
      </c>
      <c r="M110" s="137">
        <v>0</v>
      </c>
      <c r="N110" s="137">
        <v>0</v>
      </c>
      <c r="O110" s="50">
        <f t="shared" ref="O110" si="27">SUM(C110:N110)</f>
        <v>0</v>
      </c>
      <c r="Q110" s="1"/>
    </row>
    <row r="111" spans="1:17" ht="12.75" x14ac:dyDescent="0.2">
      <c r="A111" s="47" t="s">
        <v>40</v>
      </c>
      <c r="C111" s="121" t="e">
        <f>SUM(C110:C110)/O110</f>
        <v>#DIV/0!</v>
      </c>
      <c r="D111" s="121" t="e">
        <f t="shared" ref="D111" si="28">SUM(D110:D110)/O110</f>
        <v>#DIV/0!</v>
      </c>
      <c r="E111" s="121" t="e">
        <f t="shared" ref="E111" si="29">SUM(E110:E110)/O110</f>
        <v>#DIV/0!</v>
      </c>
      <c r="F111" s="121" t="e">
        <f t="shared" ref="F111" si="30">SUM(F110:F110)/O110</f>
        <v>#DIV/0!</v>
      </c>
      <c r="G111" s="121" t="e">
        <f t="shared" ref="G111" si="31">SUM(G110:G110)/O110</f>
        <v>#DIV/0!</v>
      </c>
      <c r="H111" s="121" t="e">
        <f t="shared" ref="H111" si="32">SUM(H110:H110)/O110</f>
        <v>#DIV/0!</v>
      </c>
      <c r="I111" s="121" t="e">
        <f t="shared" ref="I111" si="33">SUM(I110:I110)/O110</f>
        <v>#DIV/0!</v>
      </c>
      <c r="J111" s="121" t="e">
        <f t="shared" ref="J111" si="34">SUM(J110:J110)/O110</f>
        <v>#DIV/0!</v>
      </c>
      <c r="K111" s="121" t="e">
        <f t="shared" ref="K111" si="35">SUM(K110:K110)/O110</f>
        <v>#DIV/0!</v>
      </c>
      <c r="L111" s="121" t="e">
        <f t="shared" ref="L111" si="36">SUM(L110:L110)/O110</f>
        <v>#DIV/0!</v>
      </c>
      <c r="M111" s="121" t="e">
        <f t="shared" ref="M111" si="37">SUM(M110:M110)/O110</f>
        <v>#DIV/0!</v>
      </c>
      <c r="N111" s="121" t="e">
        <f t="shared" ref="N111" si="38">SUM(N110:N110)/O110</f>
        <v>#DIV/0!</v>
      </c>
      <c r="O111" s="50"/>
      <c r="Q111" s="1"/>
    </row>
    <row r="112" spans="1:17" ht="12.75" x14ac:dyDescent="0.2">
      <c r="A112" s="29" t="s">
        <v>105</v>
      </c>
      <c r="C112" s="137">
        <v>0</v>
      </c>
      <c r="D112" s="137">
        <v>0</v>
      </c>
      <c r="E112" s="137"/>
      <c r="F112" s="137"/>
      <c r="G112" s="137"/>
      <c r="H112" s="137"/>
      <c r="I112" s="137">
        <v>0</v>
      </c>
      <c r="J112" s="137">
        <v>0</v>
      </c>
      <c r="K112" s="137">
        <v>0</v>
      </c>
      <c r="L112" s="137">
        <v>0</v>
      </c>
      <c r="M112" s="137">
        <v>0</v>
      </c>
      <c r="N112" s="137">
        <v>0</v>
      </c>
      <c r="O112" s="50">
        <f t="shared" ref="O112" si="39">SUM(C112:N112)</f>
        <v>0</v>
      </c>
      <c r="Q112" s="1"/>
    </row>
    <row r="113" spans="1:17" ht="12.75" x14ac:dyDescent="0.2">
      <c r="A113" s="47" t="s">
        <v>40</v>
      </c>
      <c r="C113" s="121" t="e">
        <f>SUM(C112:C112)/O112</f>
        <v>#DIV/0!</v>
      </c>
      <c r="D113" s="121" t="e">
        <f t="shared" ref="D113" si="40">SUM(D112:D112)/O112</f>
        <v>#DIV/0!</v>
      </c>
      <c r="E113" s="121" t="e">
        <f t="shared" ref="E113" si="41">SUM(E112:E112)/O112</f>
        <v>#DIV/0!</v>
      </c>
      <c r="F113" s="121" t="e">
        <f t="shared" ref="F113" si="42">SUM(F112:F112)/O112</f>
        <v>#DIV/0!</v>
      </c>
      <c r="G113" s="121" t="e">
        <f t="shared" ref="G113" si="43">SUM(G112:G112)/O112</f>
        <v>#DIV/0!</v>
      </c>
      <c r="H113" s="121" t="e">
        <f t="shared" ref="H113" si="44">SUM(H112:H112)/O112</f>
        <v>#DIV/0!</v>
      </c>
      <c r="I113" s="121" t="e">
        <f t="shared" ref="I113" si="45">SUM(I112:I112)/O112</f>
        <v>#DIV/0!</v>
      </c>
      <c r="J113" s="121" t="e">
        <f t="shared" ref="J113" si="46">SUM(J112:J112)/O112</f>
        <v>#DIV/0!</v>
      </c>
      <c r="K113" s="121" t="e">
        <f t="shared" ref="K113" si="47">SUM(K112:K112)/O112</f>
        <v>#DIV/0!</v>
      </c>
      <c r="L113" s="121" t="e">
        <f t="shared" ref="L113" si="48">SUM(L112:L112)/O112</f>
        <v>#DIV/0!</v>
      </c>
      <c r="M113" s="121" t="e">
        <f t="shared" ref="M113" si="49">SUM(M112:M112)/O112</f>
        <v>#DIV/0!</v>
      </c>
      <c r="N113" s="121" t="e">
        <f t="shared" ref="N113" si="50">SUM(N112:N112)/O112</f>
        <v>#DIV/0!</v>
      </c>
      <c r="O113" s="50"/>
      <c r="Q113" s="1"/>
    </row>
    <row r="114" spans="1:17" ht="12.75" x14ac:dyDescent="0.2">
      <c r="A114" s="29" t="s">
        <v>106</v>
      </c>
      <c r="C114" s="137">
        <v>0</v>
      </c>
      <c r="D114" s="137">
        <v>0</v>
      </c>
      <c r="E114" s="137"/>
      <c r="F114" s="137"/>
      <c r="G114" s="137"/>
      <c r="H114" s="137"/>
      <c r="I114" s="137">
        <v>0</v>
      </c>
      <c r="J114" s="137">
        <v>0</v>
      </c>
      <c r="K114" s="137">
        <v>0</v>
      </c>
      <c r="L114" s="137">
        <v>0</v>
      </c>
      <c r="M114" s="137">
        <v>0</v>
      </c>
      <c r="N114" s="137">
        <v>0</v>
      </c>
      <c r="O114" s="50">
        <f t="shared" ref="O114" si="51">SUM(C114:N114)</f>
        <v>0</v>
      </c>
      <c r="Q114" s="1"/>
    </row>
    <row r="115" spans="1:17" ht="12.75" x14ac:dyDescent="0.2">
      <c r="A115" s="47" t="s">
        <v>40</v>
      </c>
      <c r="C115" s="121" t="e">
        <f>SUM(C114:C114)/O114</f>
        <v>#DIV/0!</v>
      </c>
      <c r="D115" s="121" t="e">
        <f t="shared" ref="D115" si="52">SUM(D114:D114)/O114</f>
        <v>#DIV/0!</v>
      </c>
      <c r="E115" s="121" t="e">
        <f t="shared" ref="E115" si="53">SUM(E114:E114)/O114</f>
        <v>#DIV/0!</v>
      </c>
      <c r="F115" s="121" t="e">
        <f t="shared" ref="F115" si="54">SUM(F114:F114)/O114</f>
        <v>#DIV/0!</v>
      </c>
      <c r="G115" s="121" t="e">
        <f t="shared" ref="G115" si="55">SUM(G114:G114)/O114</f>
        <v>#DIV/0!</v>
      </c>
      <c r="H115" s="121" t="e">
        <f t="shared" ref="H115" si="56">SUM(H114:H114)/O114</f>
        <v>#DIV/0!</v>
      </c>
      <c r="I115" s="121" t="e">
        <f t="shared" ref="I115" si="57">SUM(I114:I114)/O114</f>
        <v>#DIV/0!</v>
      </c>
      <c r="J115" s="121" t="e">
        <f t="shared" ref="J115" si="58">SUM(J114:J114)/O114</f>
        <v>#DIV/0!</v>
      </c>
      <c r="K115" s="121" t="e">
        <f t="shared" ref="K115" si="59">SUM(K114:K114)/O114</f>
        <v>#DIV/0!</v>
      </c>
      <c r="L115" s="121" t="e">
        <f t="shared" ref="L115" si="60">SUM(L114:L114)/O114</f>
        <v>#DIV/0!</v>
      </c>
      <c r="M115" s="121" t="e">
        <f t="shared" ref="M115" si="61">SUM(M114:M114)/O114</f>
        <v>#DIV/0!</v>
      </c>
      <c r="N115" s="121" t="e">
        <f t="shared" ref="N115" si="62">SUM(N114:N114)/O114</f>
        <v>#DIV/0!</v>
      </c>
      <c r="O115" s="50"/>
      <c r="Q115" s="1"/>
    </row>
    <row r="116" spans="1:17" ht="12.75" x14ac:dyDescent="0.2">
      <c r="A116" s="29" t="s">
        <v>107</v>
      </c>
      <c r="C116" s="137">
        <v>0</v>
      </c>
      <c r="D116" s="137">
        <v>0</v>
      </c>
      <c r="E116" s="137"/>
      <c r="F116" s="137"/>
      <c r="G116" s="137"/>
      <c r="H116" s="137"/>
      <c r="I116" s="137">
        <v>0</v>
      </c>
      <c r="J116" s="137">
        <v>0</v>
      </c>
      <c r="K116" s="137">
        <v>0</v>
      </c>
      <c r="L116" s="137">
        <v>0</v>
      </c>
      <c r="M116" s="137">
        <v>0</v>
      </c>
      <c r="N116" s="137">
        <v>0</v>
      </c>
      <c r="O116" s="50">
        <f t="shared" ref="O116" si="63">SUM(C116:N116)</f>
        <v>0</v>
      </c>
      <c r="Q116" s="1"/>
    </row>
    <row r="117" spans="1:17" ht="12.75" x14ac:dyDescent="0.2">
      <c r="A117" s="47" t="s">
        <v>40</v>
      </c>
      <c r="C117" s="121" t="e">
        <f>SUM(C116:C116)/O116</f>
        <v>#DIV/0!</v>
      </c>
      <c r="D117" s="121" t="e">
        <f t="shared" ref="D117" si="64">SUM(D116:D116)/O116</f>
        <v>#DIV/0!</v>
      </c>
      <c r="E117" s="121" t="e">
        <f t="shared" ref="E117" si="65">SUM(E116:E116)/O116</f>
        <v>#DIV/0!</v>
      </c>
      <c r="F117" s="121" t="e">
        <f t="shared" ref="F117" si="66">SUM(F116:F116)/O116</f>
        <v>#DIV/0!</v>
      </c>
      <c r="G117" s="121" t="e">
        <f t="shared" ref="G117" si="67">SUM(G116:G116)/O116</f>
        <v>#DIV/0!</v>
      </c>
      <c r="H117" s="121" t="e">
        <f t="shared" ref="H117" si="68">SUM(H116:H116)/O116</f>
        <v>#DIV/0!</v>
      </c>
      <c r="I117" s="121" t="e">
        <f t="shared" ref="I117" si="69">SUM(I116:I116)/O116</f>
        <v>#DIV/0!</v>
      </c>
      <c r="J117" s="121" t="e">
        <f t="shared" ref="J117" si="70">SUM(J116:J116)/O116</f>
        <v>#DIV/0!</v>
      </c>
      <c r="K117" s="121" t="e">
        <f t="shared" ref="K117" si="71">SUM(K116:K116)/O116</f>
        <v>#DIV/0!</v>
      </c>
      <c r="L117" s="121" t="e">
        <f t="shared" ref="L117" si="72">SUM(L116:L116)/O116</f>
        <v>#DIV/0!</v>
      </c>
      <c r="M117" s="121" t="e">
        <f t="shared" ref="M117" si="73">SUM(M116:M116)/O116</f>
        <v>#DIV/0!</v>
      </c>
      <c r="N117" s="121" t="e">
        <f t="shared" ref="N117" si="74">SUM(N116:N116)/O116</f>
        <v>#DIV/0!</v>
      </c>
      <c r="O117" s="50"/>
      <c r="Q117" s="1"/>
    </row>
    <row r="118" spans="1:17" ht="12.75" x14ac:dyDescent="0.2">
      <c r="A118" s="29" t="s">
        <v>108</v>
      </c>
      <c r="C118" s="137">
        <v>0</v>
      </c>
      <c r="D118" s="137">
        <v>0</v>
      </c>
      <c r="E118" s="137"/>
      <c r="F118" s="137"/>
      <c r="G118" s="137"/>
      <c r="H118" s="137"/>
      <c r="I118" s="137">
        <v>0</v>
      </c>
      <c r="J118" s="137">
        <v>0</v>
      </c>
      <c r="K118" s="137">
        <v>0</v>
      </c>
      <c r="L118" s="137">
        <v>0</v>
      </c>
      <c r="M118" s="137">
        <v>0</v>
      </c>
      <c r="N118" s="137">
        <v>0</v>
      </c>
      <c r="O118" s="50">
        <f t="shared" ref="O118" si="75">SUM(C118:N118)</f>
        <v>0</v>
      </c>
      <c r="Q118" s="1"/>
    </row>
    <row r="119" spans="1:17" ht="12.75" x14ac:dyDescent="0.2">
      <c r="A119" s="47" t="s">
        <v>40</v>
      </c>
      <c r="C119" s="121" t="e">
        <f>SUM(C118:C118)/O118</f>
        <v>#DIV/0!</v>
      </c>
      <c r="D119" s="121" t="e">
        <f t="shared" ref="D119" si="76">SUM(D118:D118)/O118</f>
        <v>#DIV/0!</v>
      </c>
      <c r="E119" s="121" t="e">
        <f t="shared" ref="E119" si="77">SUM(E118:E118)/O118</f>
        <v>#DIV/0!</v>
      </c>
      <c r="F119" s="121" t="e">
        <f t="shared" ref="F119" si="78">SUM(F118:F118)/O118</f>
        <v>#DIV/0!</v>
      </c>
      <c r="G119" s="121" t="e">
        <f t="shared" ref="G119" si="79">SUM(G118:G118)/O118</f>
        <v>#DIV/0!</v>
      </c>
      <c r="H119" s="121" t="e">
        <f t="shared" ref="H119" si="80">SUM(H118:H118)/O118</f>
        <v>#DIV/0!</v>
      </c>
      <c r="I119" s="121" t="e">
        <f t="shared" ref="I119" si="81">SUM(I118:I118)/O118</f>
        <v>#DIV/0!</v>
      </c>
      <c r="J119" s="121" t="e">
        <f t="shared" ref="J119" si="82">SUM(J118:J118)/O118</f>
        <v>#DIV/0!</v>
      </c>
      <c r="K119" s="121" t="e">
        <f t="shared" ref="K119" si="83">SUM(K118:K118)/O118</f>
        <v>#DIV/0!</v>
      </c>
      <c r="L119" s="121" t="e">
        <f t="shared" ref="L119" si="84">SUM(L118:L118)/O118</f>
        <v>#DIV/0!</v>
      </c>
      <c r="M119" s="121" t="e">
        <f t="shared" ref="M119" si="85">SUM(M118:M118)/O118</f>
        <v>#DIV/0!</v>
      </c>
      <c r="N119" s="121" t="e">
        <f t="shared" ref="N119" si="86">SUM(N118:N118)/O118</f>
        <v>#DIV/0!</v>
      </c>
      <c r="O119" s="50"/>
      <c r="Q119" s="1"/>
    </row>
    <row r="120" spans="1:17" ht="12.75" x14ac:dyDescent="0.2">
      <c r="A120" s="29" t="s">
        <v>109</v>
      </c>
      <c r="C120" s="137">
        <v>0</v>
      </c>
      <c r="D120" s="137">
        <v>0</v>
      </c>
      <c r="E120" s="137"/>
      <c r="F120" s="137"/>
      <c r="G120" s="137"/>
      <c r="H120" s="137"/>
      <c r="I120" s="137">
        <v>0</v>
      </c>
      <c r="J120" s="137">
        <v>0</v>
      </c>
      <c r="K120" s="137">
        <v>0</v>
      </c>
      <c r="L120" s="137">
        <v>0</v>
      </c>
      <c r="M120" s="137">
        <v>0</v>
      </c>
      <c r="N120" s="137">
        <v>0</v>
      </c>
      <c r="O120" s="50">
        <f t="shared" ref="O120" si="87">SUM(C120:N120)</f>
        <v>0</v>
      </c>
      <c r="Q120" s="1"/>
    </row>
    <row r="121" spans="1:17" ht="12.75" x14ac:dyDescent="0.2">
      <c r="A121" s="47" t="s">
        <v>40</v>
      </c>
      <c r="C121" s="121" t="e">
        <f>SUM(C120:C120)/O120</f>
        <v>#DIV/0!</v>
      </c>
      <c r="D121" s="121" t="e">
        <f t="shared" ref="D121" si="88">SUM(D120:D120)/O120</f>
        <v>#DIV/0!</v>
      </c>
      <c r="E121" s="121" t="e">
        <f t="shared" ref="E121" si="89">SUM(E120:E120)/O120</f>
        <v>#DIV/0!</v>
      </c>
      <c r="F121" s="121" t="e">
        <f t="shared" ref="F121" si="90">SUM(F120:F120)/O120</f>
        <v>#DIV/0!</v>
      </c>
      <c r="G121" s="121" t="e">
        <f t="shared" ref="G121" si="91">SUM(G120:G120)/O120</f>
        <v>#DIV/0!</v>
      </c>
      <c r="H121" s="121" t="e">
        <f t="shared" ref="H121" si="92">SUM(H120:H120)/O120</f>
        <v>#DIV/0!</v>
      </c>
      <c r="I121" s="121" t="e">
        <f t="shared" ref="I121" si="93">SUM(I120:I120)/O120</f>
        <v>#DIV/0!</v>
      </c>
      <c r="J121" s="121" t="e">
        <f t="shared" ref="J121" si="94">SUM(J120:J120)/O120</f>
        <v>#DIV/0!</v>
      </c>
      <c r="K121" s="121" t="e">
        <f t="shared" ref="K121" si="95">SUM(K120:K120)/O120</f>
        <v>#DIV/0!</v>
      </c>
      <c r="L121" s="121" t="e">
        <f t="shared" ref="L121" si="96">SUM(L120:L120)/O120</f>
        <v>#DIV/0!</v>
      </c>
      <c r="M121" s="121" t="e">
        <f t="shared" ref="M121" si="97">SUM(M120:M120)/O120</f>
        <v>#DIV/0!</v>
      </c>
      <c r="N121" s="121" t="e">
        <f t="shared" ref="N121" si="98">SUM(N120:N120)/O120</f>
        <v>#DIV/0!</v>
      </c>
      <c r="O121" s="50"/>
      <c r="Q121" s="1"/>
    </row>
    <row r="122" spans="1:17" ht="12.75" x14ac:dyDescent="0.2">
      <c r="A122" s="29" t="s">
        <v>110</v>
      </c>
      <c r="C122" s="137">
        <v>0</v>
      </c>
      <c r="D122" s="137">
        <v>0</v>
      </c>
      <c r="E122" s="137"/>
      <c r="F122" s="137"/>
      <c r="G122" s="137"/>
      <c r="H122" s="137"/>
      <c r="I122" s="137">
        <v>0</v>
      </c>
      <c r="J122" s="137">
        <v>0</v>
      </c>
      <c r="K122" s="137">
        <v>0</v>
      </c>
      <c r="L122" s="137">
        <v>0</v>
      </c>
      <c r="M122" s="137">
        <v>0</v>
      </c>
      <c r="N122" s="137">
        <v>0</v>
      </c>
      <c r="O122" s="50">
        <f t="shared" ref="O122" si="99">SUM(C122:N122)</f>
        <v>0</v>
      </c>
      <c r="Q122" s="1"/>
    </row>
    <row r="123" spans="1:17" ht="12.75" x14ac:dyDescent="0.2">
      <c r="A123" s="47" t="s">
        <v>40</v>
      </c>
      <c r="C123" s="121" t="e">
        <f>SUM(C122:C122)/O122</f>
        <v>#DIV/0!</v>
      </c>
      <c r="D123" s="121" t="e">
        <f t="shared" ref="D123" si="100">SUM(D122:D122)/O122</f>
        <v>#DIV/0!</v>
      </c>
      <c r="E123" s="121" t="e">
        <f t="shared" ref="E123" si="101">SUM(E122:E122)/O122</f>
        <v>#DIV/0!</v>
      </c>
      <c r="F123" s="121" t="e">
        <f t="shared" ref="F123" si="102">SUM(F122:F122)/O122</f>
        <v>#DIV/0!</v>
      </c>
      <c r="G123" s="121" t="e">
        <f t="shared" ref="G123" si="103">SUM(G122:G122)/O122</f>
        <v>#DIV/0!</v>
      </c>
      <c r="H123" s="121" t="e">
        <f t="shared" ref="H123" si="104">SUM(H122:H122)/O122</f>
        <v>#DIV/0!</v>
      </c>
      <c r="I123" s="121" t="e">
        <f t="shared" ref="I123" si="105">SUM(I122:I122)/O122</f>
        <v>#DIV/0!</v>
      </c>
      <c r="J123" s="121" t="e">
        <f t="shared" ref="J123" si="106">SUM(J122:J122)/O122</f>
        <v>#DIV/0!</v>
      </c>
      <c r="K123" s="121" t="e">
        <f t="shared" ref="K123" si="107">SUM(K122:K122)/O122</f>
        <v>#DIV/0!</v>
      </c>
      <c r="L123" s="121" t="e">
        <f t="shared" ref="L123" si="108">SUM(L122:L122)/O122</f>
        <v>#DIV/0!</v>
      </c>
      <c r="M123" s="121" t="e">
        <f t="shared" ref="M123" si="109">SUM(M122:M122)/O122</f>
        <v>#DIV/0!</v>
      </c>
      <c r="N123" s="121" t="e">
        <f t="shared" ref="N123" si="110">SUM(N122:N122)/O122</f>
        <v>#DIV/0!</v>
      </c>
      <c r="O123" s="50"/>
      <c r="Q123" s="1"/>
    </row>
    <row r="124" spans="1:17" ht="12.75" x14ac:dyDescent="0.2">
      <c r="A124" s="29" t="s">
        <v>111</v>
      </c>
      <c r="C124" s="137">
        <v>0</v>
      </c>
      <c r="D124" s="137">
        <v>0</v>
      </c>
      <c r="E124" s="137"/>
      <c r="F124" s="137"/>
      <c r="G124" s="137"/>
      <c r="H124" s="137"/>
      <c r="I124" s="137">
        <v>0</v>
      </c>
      <c r="J124" s="137">
        <v>0</v>
      </c>
      <c r="K124" s="137">
        <v>0</v>
      </c>
      <c r="L124" s="137">
        <v>0</v>
      </c>
      <c r="M124" s="137">
        <v>0</v>
      </c>
      <c r="N124" s="137">
        <v>0</v>
      </c>
      <c r="O124" s="50">
        <f t="shared" ref="O124" si="111">SUM(C124:N124)</f>
        <v>0</v>
      </c>
      <c r="Q124" s="1"/>
    </row>
    <row r="125" spans="1:17" ht="12.75" x14ac:dyDescent="0.2">
      <c r="A125" s="47" t="s">
        <v>40</v>
      </c>
      <c r="C125" s="121" t="e">
        <f>SUM(C124:C124)/O124</f>
        <v>#DIV/0!</v>
      </c>
      <c r="D125" s="121" t="e">
        <f t="shared" ref="D125" si="112">SUM(D124:D124)/O124</f>
        <v>#DIV/0!</v>
      </c>
      <c r="E125" s="121" t="e">
        <f t="shared" ref="E125" si="113">SUM(E124:E124)/O124</f>
        <v>#DIV/0!</v>
      </c>
      <c r="F125" s="121" t="e">
        <f t="shared" ref="F125" si="114">SUM(F124:F124)/O124</f>
        <v>#DIV/0!</v>
      </c>
      <c r="G125" s="121" t="e">
        <f t="shared" ref="G125" si="115">SUM(G124:G124)/O124</f>
        <v>#DIV/0!</v>
      </c>
      <c r="H125" s="121" t="e">
        <f t="shared" ref="H125" si="116">SUM(H124:H124)/O124</f>
        <v>#DIV/0!</v>
      </c>
      <c r="I125" s="121" t="e">
        <f t="shared" ref="I125" si="117">SUM(I124:I124)/O124</f>
        <v>#DIV/0!</v>
      </c>
      <c r="J125" s="121" t="e">
        <f t="shared" ref="J125" si="118">SUM(J124:J124)/O124</f>
        <v>#DIV/0!</v>
      </c>
      <c r="K125" s="121" t="e">
        <f t="shared" ref="K125" si="119">SUM(K124:K124)/O124</f>
        <v>#DIV/0!</v>
      </c>
      <c r="L125" s="121" t="e">
        <f t="shared" ref="L125" si="120">SUM(L124:L124)/O124</f>
        <v>#DIV/0!</v>
      </c>
      <c r="M125" s="121" t="e">
        <f t="shared" ref="M125" si="121">SUM(M124:M124)/O124</f>
        <v>#DIV/0!</v>
      </c>
      <c r="N125" s="121" t="e">
        <f t="shared" ref="N125" si="122">SUM(N124:N124)/O124</f>
        <v>#DIV/0!</v>
      </c>
      <c r="O125" s="50"/>
      <c r="Q125" s="1"/>
    </row>
    <row r="126" spans="1:17" s="66" customFormat="1" ht="12.75" x14ac:dyDescent="0.2">
      <c r="A126" s="65" t="s">
        <v>42</v>
      </c>
      <c r="C126" s="67">
        <v>0</v>
      </c>
      <c r="D126" s="67">
        <f>IF(D106=0,0,(D106-#REF!)/#REF!)</f>
        <v>0</v>
      </c>
      <c r="E126" s="67">
        <v>0</v>
      </c>
      <c r="F126" s="67">
        <v>0</v>
      </c>
      <c r="G126" s="67">
        <v>0</v>
      </c>
      <c r="H126" s="67">
        <v>0</v>
      </c>
      <c r="I126" s="67">
        <v>1</v>
      </c>
      <c r="J126" s="67">
        <v>1</v>
      </c>
      <c r="K126" s="67">
        <v>1</v>
      </c>
      <c r="L126" s="67">
        <v>1</v>
      </c>
      <c r="M126" s="67">
        <v>1</v>
      </c>
      <c r="N126" s="67">
        <v>1</v>
      </c>
      <c r="O126" s="67">
        <v>1</v>
      </c>
      <c r="P126"/>
      <c r="Q126" s="1"/>
    </row>
    <row r="127" spans="1:17" s="167" customFormat="1" ht="12.75" x14ac:dyDescent="0.2">
      <c r="A127" s="29"/>
      <c r="B127"/>
      <c r="C127"/>
      <c r="D127"/>
      <c r="E127"/>
      <c r="F127"/>
      <c r="G127"/>
      <c r="H127"/>
      <c r="I127" s="72"/>
      <c r="J127"/>
      <c r="K127"/>
      <c r="L127"/>
      <c r="M127"/>
      <c r="N127"/>
      <c r="O127"/>
      <c r="P127"/>
      <c r="Q127" s="1"/>
    </row>
    <row r="128" spans="1:17" s="167" customFormat="1" ht="12.75" x14ac:dyDescent="0.2">
      <c r="A128" s="47" t="s">
        <v>125</v>
      </c>
      <c r="B128" s="48"/>
      <c r="C128" s="50">
        <f>AVERAGE(C108)</f>
        <v>334525.59999999998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f>AVERAGE(I106)</f>
        <v>344251.27</v>
      </c>
      <c r="J128" s="50">
        <f t="shared" ref="J128:N128" si="123">AVERAGE(J106)</f>
        <v>519924.56</v>
      </c>
      <c r="K128" s="50">
        <f t="shared" si="123"/>
        <v>524786.5</v>
      </c>
      <c r="L128" s="50">
        <v>297594.84999999998</v>
      </c>
      <c r="M128" s="50">
        <v>119362.89</v>
      </c>
      <c r="N128" s="50">
        <f t="shared" si="123"/>
        <v>198326.37</v>
      </c>
      <c r="O128" s="50">
        <f>AVERAGE(O106,O108)</f>
        <v>1325821.135</v>
      </c>
      <c r="P128"/>
      <c r="Q128" s="1"/>
    </row>
    <row r="129" spans="1:17" s="167" customFormat="1" ht="12.75" x14ac:dyDescent="0.2">
      <c r="A129" s="71" t="s">
        <v>49</v>
      </c>
      <c r="B129" s="48"/>
      <c r="C129" s="162">
        <f>C128/$O$128</f>
        <v>0.25231578466276294</v>
      </c>
      <c r="D129" s="162">
        <f>D128/$O$128</f>
        <v>0</v>
      </c>
      <c r="E129" s="162">
        <f t="shared" ref="E129:N129" si="124">E128/$O$128</f>
        <v>0</v>
      </c>
      <c r="F129" s="162">
        <f t="shared" si="124"/>
        <v>0</v>
      </c>
      <c r="G129" s="162">
        <f t="shared" si="124"/>
        <v>0</v>
      </c>
      <c r="H129" s="162">
        <f t="shared" si="124"/>
        <v>0</v>
      </c>
      <c r="I129" s="162">
        <f t="shared" si="124"/>
        <v>0.25965136692439289</v>
      </c>
      <c r="J129" s="162">
        <f t="shared" si="124"/>
        <v>0.39215286758873397</v>
      </c>
      <c r="K129" s="162">
        <f t="shared" si="124"/>
        <v>0.39581998366619792</v>
      </c>
      <c r="L129" s="162">
        <f t="shared" si="124"/>
        <v>0.22446078293962329</v>
      </c>
      <c r="M129" s="162">
        <f t="shared" si="124"/>
        <v>9.0029406568481046E-2</v>
      </c>
      <c r="N129" s="162">
        <f t="shared" si="124"/>
        <v>0.1495875761552104</v>
      </c>
      <c r="O129" s="162">
        <f>O128/$O$128</f>
        <v>1</v>
      </c>
      <c r="P129"/>
      <c r="Q129" s="1"/>
    </row>
    <row r="130" spans="1:17" s="167" customFormat="1" ht="12.75" x14ac:dyDescent="0.2">
      <c r="A130" s="47" t="s">
        <v>41</v>
      </c>
      <c r="B130" s="48"/>
      <c r="C130" s="162">
        <f>SUM(C128:C128)/O128</f>
        <v>0.25231578466276294</v>
      </c>
      <c r="D130" s="162">
        <v>0</v>
      </c>
      <c r="E130" s="162">
        <v>0</v>
      </c>
      <c r="F130" s="162">
        <v>0</v>
      </c>
      <c r="G130" s="162">
        <v>0</v>
      </c>
      <c r="H130" s="162">
        <v>0</v>
      </c>
      <c r="I130" s="162">
        <v>0</v>
      </c>
      <c r="J130" s="162">
        <v>0</v>
      </c>
      <c r="K130" s="162">
        <v>0</v>
      </c>
      <c r="L130" s="162">
        <v>0</v>
      </c>
      <c r="M130" s="162">
        <v>0</v>
      </c>
      <c r="N130" s="162">
        <v>0</v>
      </c>
      <c r="O130" s="162">
        <v>0</v>
      </c>
      <c r="P130"/>
      <c r="Q130" s="1"/>
    </row>
    <row r="131" spans="1:17" s="167" customFormat="1" ht="12.75" x14ac:dyDescent="0.2">
      <c r="A131" s="29"/>
      <c r="B131"/>
      <c r="C131"/>
      <c r="D131"/>
      <c r="E131"/>
      <c r="F131"/>
      <c r="G131"/>
      <c r="H131"/>
      <c r="I131"/>
      <c r="J131"/>
      <c r="K131"/>
      <c r="L131"/>
      <c r="M131"/>
      <c r="N131" s="187"/>
      <c r="O131" s="176"/>
      <c r="P131"/>
      <c r="Q131" s="1"/>
    </row>
    <row r="132" spans="1:17" s="167" customFormat="1" ht="15.75" x14ac:dyDescent="0.25">
      <c r="A132" s="36" t="s">
        <v>126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8"/>
      <c r="P132"/>
      <c r="Q132" s="1"/>
    </row>
    <row r="133" spans="1:17" s="167" customFormat="1" ht="13.5" thickBot="1" x14ac:dyDescent="0.25">
      <c r="A133" s="29"/>
      <c r="B133"/>
      <c r="C133"/>
      <c r="D133" s="9"/>
      <c r="E133" s="171"/>
      <c r="F133" s="68"/>
      <c r="G133"/>
      <c r="H133"/>
      <c r="I133"/>
      <c r="J133"/>
      <c r="K133"/>
      <c r="L133"/>
      <c r="M133"/>
      <c r="N133"/>
      <c r="O133"/>
      <c r="P133"/>
      <c r="Q133" s="1"/>
    </row>
    <row r="134" spans="1:17" s="167" customFormat="1" ht="13.5" thickBot="1" x14ac:dyDescent="0.25">
      <c r="A134" s="57"/>
      <c r="B134" s="85"/>
      <c r="C134" s="152"/>
      <c r="D134" s="141" t="s">
        <v>58</v>
      </c>
      <c r="E134" s="153">
        <f>SUM(C136:E136)</f>
        <v>737400</v>
      </c>
      <c r="F134" s="141"/>
      <c r="G134" s="141" t="s">
        <v>58</v>
      </c>
      <c r="H134" s="153">
        <f>SUM(F136:H136)</f>
        <v>800100</v>
      </c>
      <c r="I134" s="141"/>
      <c r="J134" s="141" t="s">
        <v>58</v>
      </c>
      <c r="K134" s="153">
        <f>SUM(I136:K136)</f>
        <v>1683000</v>
      </c>
      <c r="L134" s="141"/>
      <c r="M134" s="85" t="s">
        <v>58</v>
      </c>
      <c r="N134" s="153">
        <f>SUM(L136:N136)</f>
        <v>629500</v>
      </c>
      <c r="O134" s="172">
        <f>SUM(C134:N134)</f>
        <v>3850000</v>
      </c>
      <c r="P134"/>
      <c r="Q134" s="1"/>
    </row>
    <row r="135" spans="1:17" s="167" customFormat="1" ht="13.5" thickBot="1" x14ac:dyDescent="0.25">
      <c r="A135" s="86"/>
      <c r="B135" s="57"/>
      <c r="C135" s="143" t="s">
        <v>7</v>
      </c>
      <c r="D135" s="146" t="s">
        <v>8</v>
      </c>
      <c r="E135" s="146" t="s">
        <v>9</v>
      </c>
      <c r="F135" s="146" t="s">
        <v>10</v>
      </c>
      <c r="G135" s="146" t="s">
        <v>11</v>
      </c>
      <c r="H135" s="146" t="s">
        <v>12</v>
      </c>
      <c r="I135" s="146" t="s">
        <v>1</v>
      </c>
      <c r="J135" s="146" t="s">
        <v>2</v>
      </c>
      <c r="K135" s="146" t="s">
        <v>3</v>
      </c>
      <c r="L135" s="146" t="s">
        <v>4</v>
      </c>
      <c r="M135" s="146" t="s">
        <v>5</v>
      </c>
      <c r="N135" s="146" t="s">
        <v>6</v>
      </c>
      <c r="O135" s="148" t="s">
        <v>16</v>
      </c>
      <c r="P135"/>
      <c r="Q135" s="1"/>
    </row>
    <row r="136" spans="1:17" s="167" customFormat="1" ht="13.5" thickBot="1" x14ac:dyDescent="0.25">
      <c r="A136" s="163" t="s">
        <v>114</v>
      </c>
      <c r="B136" s="164"/>
      <c r="C136" s="188">
        <v>302600</v>
      </c>
      <c r="D136" s="188">
        <v>255400</v>
      </c>
      <c r="E136" s="188">
        <v>179400</v>
      </c>
      <c r="F136" s="188">
        <v>134400</v>
      </c>
      <c r="G136" s="188">
        <v>148900</v>
      </c>
      <c r="H136" s="188">
        <v>516800</v>
      </c>
      <c r="I136" s="188">
        <v>619900</v>
      </c>
      <c r="J136" s="188">
        <v>573400</v>
      </c>
      <c r="K136" s="188">
        <v>489700</v>
      </c>
      <c r="L136" s="188">
        <v>315500</v>
      </c>
      <c r="M136" s="188">
        <v>138400</v>
      </c>
      <c r="N136" s="188">
        <v>175600</v>
      </c>
      <c r="O136" s="196">
        <f>SUM(C136:N136)</f>
        <v>3850000</v>
      </c>
      <c r="P136"/>
      <c r="Q136" s="1"/>
    </row>
    <row r="137" spans="1:17" s="167" customFormat="1" ht="13.5" thickBot="1" x14ac:dyDescent="0.25">
      <c r="A137" s="142"/>
      <c r="B137" s="57"/>
      <c r="C137" s="205">
        <v>7.8600553000000004E-2</v>
      </c>
      <c r="D137" s="205">
        <v>6.6335919733286855E-2</v>
      </c>
      <c r="E137" s="205">
        <v>4.6591145789257084E-2</v>
      </c>
      <c r="F137" s="205">
        <v>3.4912869634454759E-2</v>
      </c>
      <c r="G137" s="205">
        <v>3.8676862895826357E-2</v>
      </c>
      <c r="H137" s="205">
        <v>0.13422688569187111</v>
      </c>
      <c r="I137" s="205">
        <v>0.16101443706751786</v>
      </c>
      <c r="J137" s="206">
        <v>0.1489297538098259</v>
      </c>
      <c r="K137" s="205">
        <v>0.12720823921472774</v>
      </c>
      <c r="L137" s="205">
        <v>8.1939635479915299E-2</v>
      </c>
      <c r="M137" s="205">
        <v>3.5939700223268971E-2</v>
      </c>
      <c r="N137" s="205">
        <v>4.5624002096523966E-2</v>
      </c>
      <c r="O137" s="205">
        <f>SUM(C137:N137)</f>
        <v>1.0000000046364759</v>
      </c>
      <c r="P137"/>
      <c r="Q137" s="1"/>
    </row>
    <row r="138" spans="1:17" s="167" customFormat="1" ht="13.5" thickBot="1" x14ac:dyDescent="0.25">
      <c r="A138" s="212"/>
      <c r="B138" s="57"/>
      <c r="C138" s="133"/>
      <c r="D138" s="145"/>
      <c r="E138" s="133"/>
      <c r="F138" s="133"/>
      <c r="G138" s="145"/>
      <c r="H138" s="133"/>
      <c r="I138" s="145"/>
      <c r="J138" s="133"/>
      <c r="K138" s="133"/>
      <c r="L138" s="133"/>
      <c r="M138" s="145"/>
      <c r="N138" s="133"/>
      <c r="O138" s="9"/>
      <c r="P138"/>
      <c r="Q138" s="1"/>
    </row>
    <row r="139" spans="1:17" s="167" customFormat="1" ht="13.5" thickBot="1" x14ac:dyDescent="0.25">
      <c r="A139" s="134"/>
      <c r="B139"/>
      <c r="C139" s="143" t="s">
        <v>7</v>
      </c>
      <c r="D139" s="146" t="s">
        <v>8</v>
      </c>
      <c r="E139" s="146" t="s">
        <v>9</v>
      </c>
      <c r="F139" s="146" t="s">
        <v>10</v>
      </c>
      <c r="G139" s="146" t="s">
        <v>11</v>
      </c>
      <c r="H139" s="146" t="s">
        <v>12</v>
      </c>
      <c r="I139" s="146" t="s">
        <v>1</v>
      </c>
      <c r="J139" s="146" t="s">
        <v>2</v>
      </c>
      <c r="K139" s="146" t="s">
        <v>3</v>
      </c>
      <c r="L139" s="146" t="s">
        <v>4</v>
      </c>
      <c r="M139" s="146" t="s">
        <v>5</v>
      </c>
      <c r="N139" s="146" t="s">
        <v>6</v>
      </c>
      <c r="O139" s="148" t="s">
        <v>16</v>
      </c>
      <c r="P139"/>
      <c r="Q139" s="1"/>
    </row>
    <row r="140" spans="1:17" s="169" customFormat="1" ht="13.5" thickBot="1" x14ac:dyDescent="0.25">
      <c r="A140" s="139" t="s">
        <v>115</v>
      </c>
      <c r="B140" s="140"/>
      <c r="C140" s="199">
        <f>C108</f>
        <v>334525.59999999998</v>
      </c>
      <c r="D140" s="199">
        <f t="shared" ref="D140:N140" si="125">D108</f>
        <v>300368.46000000002</v>
      </c>
      <c r="E140" s="199">
        <f t="shared" si="125"/>
        <v>0</v>
      </c>
      <c r="F140" s="199">
        <f t="shared" si="125"/>
        <v>0</v>
      </c>
      <c r="G140" s="199">
        <f t="shared" si="125"/>
        <v>0</v>
      </c>
      <c r="H140" s="199">
        <f t="shared" si="125"/>
        <v>0</v>
      </c>
      <c r="I140" s="199">
        <f t="shared" si="125"/>
        <v>0</v>
      </c>
      <c r="J140" s="199">
        <f t="shared" si="125"/>
        <v>0</v>
      </c>
      <c r="K140" s="199">
        <f t="shared" si="125"/>
        <v>0</v>
      </c>
      <c r="L140" s="199">
        <f t="shared" si="125"/>
        <v>0</v>
      </c>
      <c r="M140" s="199">
        <f t="shared" si="125"/>
        <v>0</v>
      </c>
      <c r="N140" s="200">
        <f t="shared" si="125"/>
        <v>0</v>
      </c>
      <c r="O140" s="201">
        <f>SUM(C140:N140)</f>
        <v>634894.06000000006</v>
      </c>
      <c r="P140" s="57"/>
      <c r="Q140" s="1"/>
    </row>
    <row r="141" spans="1:17" s="169" customFormat="1" ht="13.5" thickBot="1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57"/>
      <c r="Q141" s="1"/>
    </row>
    <row r="142" spans="1:17" s="167" customFormat="1" ht="13.5" thickBot="1" x14ac:dyDescent="0.25">
      <c r="A142" s="29"/>
      <c r="B142"/>
      <c r="C142" s="143" t="s">
        <v>7</v>
      </c>
      <c r="D142" s="146" t="s">
        <v>8</v>
      </c>
      <c r="E142" s="146" t="s">
        <v>9</v>
      </c>
      <c r="F142" s="146" t="s">
        <v>10</v>
      </c>
      <c r="G142" s="146" t="s">
        <v>11</v>
      </c>
      <c r="H142" s="146" t="s">
        <v>12</v>
      </c>
      <c r="I142" s="146" t="s">
        <v>1</v>
      </c>
      <c r="J142" s="146" t="s">
        <v>2</v>
      </c>
      <c r="K142" s="146" t="s">
        <v>3</v>
      </c>
      <c r="L142" s="146" t="s">
        <v>4</v>
      </c>
      <c r="M142" s="146" t="s">
        <v>5</v>
      </c>
      <c r="N142" s="146" t="s">
        <v>6</v>
      </c>
      <c r="O142" s="148" t="s">
        <v>16</v>
      </c>
      <c r="P142"/>
      <c r="Q142"/>
    </row>
    <row r="143" spans="1:17" s="167" customFormat="1" ht="13.5" thickBot="1" x14ac:dyDescent="0.25">
      <c r="A143" s="139" t="s">
        <v>116</v>
      </c>
      <c r="B143" s="141"/>
      <c r="C143" s="202">
        <f>IF(C140=0," ",C140-C136)</f>
        <v>31925.599999999977</v>
      </c>
      <c r="D143" s="202">
        <f>IF(D140=0," ",D140-D136)</f>
        <v>44968.460000000021</v>
      </c>
      <c r="E143" s="202">
        <v>0</v>
      </c>
      <c r="F143" s="202">
        <v>0</v>
      </c>
      <c r="G143" s="202">
        <v>0</v>
      </c>
      <c r="H143" s="202">
        <v>0</v>
      </c>
      <c r="I143" s="202">
        <v>0</v>
      </c>
      <c r="J143" s="202">
        <v>0</v>
      </c>
      <c r="K143" s="202">
        <v>0</v>
      </c>
      <c r="L143" s="202">
        <v>0</v>
      </c>
      <c r="M143" s="202">
        <v>0</v>
      </c>
      <c r="N143" s="202">
        <v>0</v>
      </c>
      <c r="O143" s="203">
        <f>SUM(C143:N143)</f>
        <v>76894.06</v>
      </c>
      <c r="P143"/>
      <c r="Q143" s="173"/>
    </row>
    <row r="144" spans="1:17" s="167" customFormat="1" ht="12.75" hidden="1" customHeight="1" x14ac:dyDescent="0.2">
      <c r="A144" s="63" t="s">
        <v>95</v>
      </c>
      <c r="B144"/>
      <c r="C144" s="174">
        <f t="shared" ref="C144:O144" si="126">IF(C140=0," ",C143/C136)</f>
        <v>0.10550429610046258</v>
      </c>
      <c r="D144" s="174">
        <f t="shared" si="126"/>
        <v>0.17607071260767432</v>
      </c>
      <c r="E144" s="174" t="str">
        <f t="shared" si="126"/>
        <v xml:space="preserve"> </v>
      </c>
      <c r="F144" s="174" t="str">
        <f t="shared" si="126"/>
        <v xml:space="preserve"> </v>
      </c>
      <c r="G144" s="174" t="str">
        <f t="shared" si="126"/>
        <v xml:space="preserve"> </v>
      </c>
      <c r="H144" s="174" t="str">
        <f t="shared" si="126"/>
        <v xml:space="preserve"> </v>
      </c>
      <c r="I144" s="174" t="str">
        <f t="shared" si="126"/>
        <v xml:space="preserve"> </v>
      </c>
      <c r="J144" s="174" t="str">
        <f t="shared" si="126"/>
        <v xml:space="preserve"> </v>
      </c>
      <c r="K144" s="174" t="str">
        <f t="shared" si="126"/>
        <v xml:space="preserve"> </v>
      </c>
      <c r="L144" s="174" t="str">
        <f t="shared" si="126"/>
        <v xml:space="preserve"> </v>
      </c>
      <c r="M144" s="174" t="str">
        <f t="shared" si="126"/>
        <v xml:space="preserve"> </v>
      </c>
      <c r="N144" s="174" t="str">
        <f t="shared" si="126"/>
        <v xml:space="preserve"> </v>
      </c>
      <c r="O144" s="174">
        <f t="shared" si="126"/>
        <v>1.9972483116883117E-2</v>
      </c>
      <c r="P144"/>
      <c r="Q144"/>
    </row>
    <row r="145" spans="1:17" s="167" customFormat="1" ht="12.75" customHeight="1" x14ac:dyDescent="0.2">
      <c r="A145" s="63"/>
      <c r="B145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/>
      <c r="Q145"/>
    </row>
    <row r="146" spans="1:17" s="167" customFormat="1" ht="13.5" thickBot="1" x14ac:dyDescent="0.25">
      <c r="A146" s="63"/>
      <c r="B146" s="68"/>
      <c r="C146" s="175"/>
      <c r="D146" s="175"/>
      <c r="E146" s="175"/>
      <c r="F146" s="175"/>
      <c r="G146" s="175"/>
      <c r="H146" s="175"/>
      <c r="I146" s="174"/>
      <c r="J146" s="174"/>
      <c r="K146" s="174"/>
      <c r="L146" s="174"/>
      <c r="M146" s="174"/>
      <c r="N146" s="174"/>
      <c r="O146" s="174"/>
      <c r="P146"/>
      <c r="Q146" s="95"/>
    </row>
    <row r="147" spans="1:17" s="167" customFormat="1" ht="13.5" hidden="1" customHeight="1" thickBot="1" x14ac:dyDescent="0.25">
      <c r="A147" s="63"/>
      <c r="B147" s="74"/>
      <c r="C147" s="68"/>
      <c r="D147" s="68"/>
      <c r="E147" s="68"/>
      <c r="F147" s="68"/>
      <c r="G147" s="68"/>
      <c r="H147" s="94" t="s">
        <v>94</v>
      </c>
      <c r="I147" s="93">
        <f>O143</f>
        <v>76894.06</v>
      </c>
      <c r="J147" s="111">
        <f>I147/(C136+D136+E136+F136+G136+H136+I136)</f>
        <v>3.5642004264392325E-2</v>
      </c>
      <c r="K147" s="110"/>
      <c r="L147" s="1"/>
      <c r="M147" s="1"/>
      <c r="N147" s="1"/>
      <c r="O147" s="1"/>
      <c r="P147"/>
      <c r="Q147"/>
    </row>
    <row r="148" spans="1:17" s="167" customFormat="1" ht="13.5" hidden="1" customHeight="1" thickBot="1" x14ac:dyDescent="0.25">
      <c r="A148" s="63"/>
      <c r="B148" s="68"/>
      <c r="C148" s="68"/>
      <c r="D148" s="68"/>
      <c r="E148" s="68"/>
      <c r="F148" s="68"/>
      <c r="G148" s="68"/>
      <c r="H148" s="68"/>
      <c r="I148"/>
      <c r="J148"/>
      <c r="K148"/>
      <c r="L148"/>
      <c r="M148"/>
      <c r="N148"/>
      <c r="O148" s="83"/>
      <c r="P148"/>
      <c r="Q148"/>
    </row>
    <row r="149" spans="1:17" s="167" customFormat="1" ht="13.5" thickBot="1" x14ac:dyDescent="0.25">
      <c r="A149" s="74"/>
      <c r="B149" s="68"/>
      <c r="C149" s="68"/>
      <c r="D149" s="68"/>
      <c r="E149" s="210" t="s">
        <v>128</v>
      </c>
      <c r="F149" s="210"/>
      <c r="G149" s="210"/>
      <c r="H149" s="211"/>
      <c r="I149" s="193">
        <f>O143</f>
        <v>76894.06</v>
      </c>
      <c r="J149" s="111">
        <f>I149/(C140+D140)</f>
        <v>0.12111321375411827</v>
      </c>
      <c r="K149" s="110"/>
      <c r="L149"/>
      <c r="M149"/>
      <c r="N149" s="213"/>
      <c r="O149"/>
      <c r="P149"/>
      <c r="Q149"/>
    </row>
    <row r="150" spans="1:17" ht="12.75" x14ac:dyDescent="0.2">
      <c r="A150" s="74"/>
      <c r="B150" s="68"/>
      <c r="C150" s="68"/>
      <c r="D150" s="68"/>
      <c r="E150" s="68"/>
      <c r="F150" s="68"/>
      <c r="G150" s="68"/>
      <c r="H150" s="68"/>
    </row>
    <row r="151" spans="1:17" s="57" customFormat="1" ht="12.75" x14ac:dyDescent="0.2">
      <c r="A151" s="74"/>
      <c r="B151" s="68"/>
      <c r="C151" s="68"/>
      <c r="D151" s="68"/>
      <c r="M151"/>
      <c r="N151"/>
      <c r="O151"/>
    </row>
    <row r="152" spans="1:17" ht="12.75" x14ac:dyDescent="0.2">
      <c r="A152" s="74"/>
      <c r="B152" s="68"/>
      <c r="C152" s="68"/>
      <c r="D152" s="68"/>
      <c r="E152" s="68"/>
      <c r="F152" s="68"/>
      <c r="G152" s="68"/>
      <c r="H152" s="68"/>
    </row>
    <row r="153" spans="1:17" ht="12.75" x14ac:dyDescent="0.2">
      <c r="A153" s="74"/>
      <c r="B153" s="68"/>
      <c r="C153" s="68"/>
      <c r="D153" s="68"/>
      <c r="E153" s="68"/>
      <c r="F153" s="68"/>
      <c r="G153" s="68"/>
      <c r="H153" s="68"/>
    </row>
    <row r="154" spans="1:17" ht="12.75" x14ac:dyDescent="0.2">
      <c r="A154" s="74"/>
      <c r="B154" s="68"/>
      <c r="C154" s="68"/>
      <c r="D154" s="68"/>
      <c r="E154" s="68"/>
      <c r="F154" s="68"/>
      <c r="G154" s="68"/>
      <c r="H154" s="68"/>
    </row>
    <row r="155" spans="1:17" ht="12.75" x14ac:dyDescent="0.2">
      <c r="A155" s="74"/>
      <c r="B155" s="68"/>
      <c r="C155" s="68"/>
      <c r="D155" s="68"/>
      <c r="E155" s="68"/>
      <c r="F155" s="68"/>
      <c r="G155" s="68"/>
      <c r="H155" s="68"/>
    </row>
    <row r="156" spans="1:17" ht="12.75" x14ac:dyDescent="0.2">
      <c r="A156" s="74"/>
      <c r="B156" s="68"/>
      <c r="C156" s="68"/>
      <c r="D156" s="68"/>
      <c r="E156" s="68"/>
      <c r="F156" s="68"/>
      <c r="G156" s="68"/>
      <c r="H156" s="68"/>
      <c r="Q156" s="1"/>
    </row>
    <row r="157" spans="1:17" ht="12.75" x14ac:dyDescent="0.2">
      <c r="A157" s="74"/>
      <c r="B157" s="68"/>
      <c r="C157" s="68"/>
      <c r="D157" s="68"/>
      <c r="E157" s="68"/>
      <c r="F157" s="68"/>
      <c r="G157" s="68"/>
      <c r="H157" s="68"/>
    </row>
    <row r="158" spans="1:17" ht="12.75" x14ac:dyDescent="0.2">
      <c r="A158" s="74"/>
      <c r="B158" s="74"/>
      <c r="C158" s="68"/>
      <c r="D158" s="68"/>
      <c r="E158" s="68"/>
      <c r="F158" s="68"/>
      <c r="G158" s="68"/>
      <c r="H158" s="68"/>
    </row>
    <row r="159" spans="1:17" ht="12.75" x14ac:dyDescent="0.2">
      <c r="C159" s="68"/>
      <c r="D159" s="68"/>
      <c r="E159" s="68"/>
      <c r="F159" s="68"/>
      <c r="G159" s="68"/>
      <c r="H159" s="68"/>
    </row>
    <row r="160" spans="1:17" ht="12.75" x14ac:dyDescent="0.2">
      <c r="C160" s="68"/>
      <c r="D160" s="68"/>
      <c r="E160" s="68"/>
      <c r="F160" s="68"/>
      <c r="G160" s="68"/>
      <c r="H160" s="68"/>
    </row>
    <row r="161" spans="3:14" ht="12.75" x14ac:dyDescent="0.2">
      <c r="C161" s="68"/>
      <c r="D161" s="68"/>
      <c r="E161" s="68"/>
      <c r="F161" s="68"/>
      <c r="G161" s="68"/>
      <c r="H161" s="68"/>
    </row>
    <row r="162" spans="3:14" ht="12.75" x14ac:dyDescent="0.2">
      <c r="C162" s="68"/>
      <c r="D162" s="68"/>
      <c r="E162" s="68"/>
      <c r="F162" s="68"/>
      <c r="G162" s="68"/>
      <c r="H162" s="68"/>
    </row>
    <row r="163" spans="3:14" ht="12.75" x14ac:dyDescent="0.2">
      <c r="C163" s="68"/>
      <c r="D163" s="68"/>
      <c r="E163" s="68"/>
      <c r="F163" s="68"/>
      <c r="G163" s="68"/>
      <c r="H163" s="68"/>
    </row>
    <row r="164" spans="3:14" ht="12.75" x14ac:dyDescent="0.2"/>
    <row r="165" spans="3:14" ht="12.75" x14ac:dyDescent="0.2"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</row>
    <row r="166" spans="3:14" ht="12.75" x14ac:dyDescent="0.2"/>
    <row r="167" spans="3:14" ht="12.75" x14ac:dyDescent="0.2"/>
    <row r="168" spans="3:14" ht="12.75" x14ac:dyDescent="0.2"/>
    <row r="169" spans="3:14" ht="12.75" x14ac:dyDescent="0.2"/>
    <row r="170" spans="3:14" ht="12.75" x14ac:dyDescent="0.2"/>
    <row r="171" spans="3:14" ht="12.75" x14ac:dyDescent="0.2"/>
    <row r="172" spans="3:14" ht="12.75" x14ac:dyDescent="0.2"/>
    <row r="173" spans="3:14" ht="12.75" x14ac:dyDescent="0.2"/>
    <row r="174" spans="3:14" ht="12.75" x14ac:dyDescent="0.2"/>
    <row r="175" spans="3:14" ht="12.75" x14ac:dyDescent="0.2"/>
    <row r="176" spans="3:14" ht="12.75" x14ac:dyDescent="0.2"/>
    <row r="177" spans="2:17" ht="12.75" x14ac:dyDescent="0.2"/>
    <row r="178" spans="2:17" ht="12.75" x14ac:dyDescent="0.2"/>
    <row r="179" spans="2:17" ht="12.75" x14ac:dyDescent="0.2"/>
    <row r="180" spans="2:17" ht="12.75" x14ac:dyDescent="0.2"/>
    <row r="181" spans="2:17" ht="12.75" x14ac:dyDescent="0.2"/>
    <row r="182" spans="2:17" ht="12.75" x14ac:dyDescent="0.2"/>
    <row r="183" spans="2:17" ht="12.75" x14ac:dyDescent="0.2"/>
    <row r="184" spans="2:17" ht="12.75" x14ac:dyDescent="0.2"/>
    <row r="185" spans="2:17" ht="12.75" x14ac:dyDescent="0.2"/>
    <row r="186" spans="2:17" s="29" customFormat="1" ht="12.75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2:17" s="29" customFormat="1" ht="12.75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2:17" s="29" customFormat="1" ht="12.75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2:17" s="29" customFormat="1" ht="12.75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2:17" s="29" customFormat="1" ht="12.75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2:17" s="29" customFormat="1" ht="12.75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2:17" s="29" customFormat="1" ht="12.75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2:17" s="29" customFormat="1" ht="12.75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2:17" s="29" customFormat="1" ht="12.75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2:17" s="29" customFormat="1" ht="12.75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2:17" s="29" customFormat="1" ht="12.75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2:17" s="29" customFormat="1" ht="12.75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2:17" s="29" customFormat="1" ht="12.75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2:17" s="29" customFormat="1" ht="12.75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2:17" s="29" customFormat="1" ht="12.75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2:17" s="29" customFormat="1" ht="12.75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2:17" s="29" customFormat="1" ht="12.75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2:17" s="29" customFormat="1" ht="12.75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2:17" s="29" customFormat="1" ht="12.75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2:17" s="29" customFormat="1" ht="12.75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2:17" s="29" customFormat="1" ht="12.75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2:17" s="29" customFormat="1" ht="12.75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2:17" s="29" customFormat="1" ht="12.75" x14ac:dyDescent="0.2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2:17" s="29" customFormat="1" ht="12.75" x14ac:dyDescent="0.2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2:17" s="29" customFormat="1" ht="12.75" x14ac:dyDescent="0.2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2:17" s="29" customFormat="1" ht="12.75" x14ac:dyDescent="0.2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2:17" s="29" customFormat="1" ht="12.75" x14ac:dyDescent="0.2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2:17" s="29" customFormat="1" ht="12.75" x14ac:dyDescent="0.2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2:17" s="29" customFormat="1" ht="12.75" x14ac:dyDescent="0.2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2:17" s="29" customFormat="1" ht="12.75" x14ac:dyDescent="0.2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2:17" s="29" customFormat="1" ht="12.75" x14ac:dyDescent="0.2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2:17" s="29" customFormat="1" ht="12.75" x14ac:dyDescent="0.2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2:17" s="29" customFormat="1" ht="12.75" x14ac:dyDescent="0.2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2:17" s="29" customFormat="1" ht="12.75" x14ac:dyDescent="0.2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2:17" s="29" customFormat="1" ht="12.75" x14ac:dyDescent="0.2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2:17" s="29" customFormat="1" ht="12.75" x14ac:dyDescent="0.2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2:17" s="29" customFormat="1" ht="12.75" x14ac:dyDescent="0.2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2:17" s="29" customFormat="1" ht="12.75" x14ac:dyDescent="0.2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2:17" s="29" customFormat="1" ht="12.75" x14ac:dyDescent="0.2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2:17" s="29" customFormat="1" ht="12.75" x14ac:dyDescent="0.2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2:17" s="29" customFormat="1" ht="12.75" x14ac:dyDescent="0.2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2:17" s="29" customFormat="1" ht="12.75" x14ac:dyDescent="0.2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2:17" s="29" customFormat="1" ht="12.75" x14ac:dyDescent="0.2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2:17" s="29" customFormat="1" ht="12.75" x14ac:dyDescent="0.2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2:17" s="29" customFormat="1" ht="12.75" x14ac:dyDescent="0.2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2:17" s="29" customFormat="1" ht="12.75" x14ac:dyDescent="0.2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2:17" s="29" customFormat="1" ht="12.75" x14ac:dyDescent="0.2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2:17" s="29" customFormat="1" ht="12.75" x14ac:dyDescent="0.2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2:17" s="29" customFormat="1" ht="12.75" x14ac:dyDescent="0.2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2:17" s="29" customFormat="1" ht="12.75" x14ac:dyDescent="0.2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2:17" s="29" customFormat="1" ht="12.75" x14ac:dyDescent="0.2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2:17" s="29" customFormat="1" ht="12.75" x14ac:dyDescent="0.2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2:17" s="29" customFormat="1" ht="12.75" x14ac:dyDescent="0.2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2:17" s="29" customFormat="1" ht="12.75" x14ac:dyDescent="0.2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2:17" s="29" customFormat="1" ht="12.75" x14ac:dyDescent="0.2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2:17" s="29" customFormat="1" ht="12.75" x14ac:dyDescent="0.2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2:17" s="29" customFormat="1" ht="12.75" x14ac:dyDescent="0.2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2:17" s="29" customFormat="1" ht="12.75" x14ac:dyDescent="0.2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2:17" s="29" customFormat="1" ht="12.75" x14ac:dyDescent="0.2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2:17" s="29" customFormat="1" ht="12.75" x14ac:dyDescent="0.2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2:17" s="29" customFormat="1" ht="12.75" x14ac:dyDescent="0.2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2:17" s="29" customFormat="1" ht="12.75" x14ac:dyDescent="0.2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2:17" s="29" customFormat="1" ht="12.75" x14ac:dyDescent="0.2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2:17" s="29" customFormat="1" ht="12.75" x14ac:dyDescent="0.2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2:17" s="29" customFormat="1" ht="12.75" x14ac:dyDescent="0.2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2:17" s="29" customFormat="1" ht="12.75" x14ac:dyDescent="0.2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2:17" s="29" customFormat="1" ht="12.75" x14ac:dyDescent="0.2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2:17" s="29" customFormat="1" ht="12.75" x14ac:dyDescent="0.2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2:17" s="29" customFormat="1" ht="12.75" x14ac:dyDescent="0.2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2:17" s="29" customFormat="1" ht="12.75" x14ac:dyDescent="0.2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2:17" s="29" customFormat="1" ht="12.75" x14ac:dyDescent="0.2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2:17" s="29" customFormat="1" ht="12.75" x14ac:dyDescent="0.2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2:17" s="29" customFormat="1" ht="12.75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2:17" s="29" customFormat="1" ht="12.75" x14ac:dyDescent="0.2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2:17" s="29" customFormat="1" ht="12.75" x14ac:dyDescent="0.2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2:17" s="29" customFormat="1" ht="12.75" x14ac:dyDescent="0.2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2:17" s="29" customFormat="1" ht="12.75" x14ac:dyDescent="0.2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2:17" s="29" customFormat="1" ht="12.75" x14ac:dyDescent="0.2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2:17" s="29" customFormat="1" ht="12.75" x14ac:dyDescent="0.2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2:17" s="29" customFormat="1" ht="12.75" x14ac:dyDescent="0.2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2:17" s="29" customFormat="1" ht="12.75" x14ac:dyDescent="0.2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2:17" s="29" customFormat="1" ht="12.75" x14ac:dyDescent="0.2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2:17" s="29" customFormat="1" ht="12.75" x14ac:dyDescent="0.2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2:17" s="29" customFormat="1" ht="12.75" x14ac:dyDescent="0.2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2:17" s="29" customFormat="1" ht="12.75" x14ac:dyDescent="0.2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2:17" s="29" customFormat="1" ht="12.75" x14ac:dyDescent="0.2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2:17" s="29" customFormat="1" ht="12.75" x14ac:dyDescent="0.2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2:17" s="29" customFormat="1" ht="12.75" x14ac:dyDescent="0.2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2:17" s="29" customFormat="1" ht="12.75" x14ac:dyDescent="0.2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2:17" s="29" customFormat="1" ht="12.75" x14ac:dyDescent="0.2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2:17" s="29" customFormat="1" ht="12.75" x14ac:dyDescent="0.2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2:17" s="29" customFormat="1" ht="12.75" x14ac:dyDescent="0.2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2:17" s="29" customFormat="1" ht="12.75" x14ac:dyDescent="0.2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2:17" s="29" customFormat="1" ht="12.75" x14ac:dyDescent="0.2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2:17" s="29" customFormat="1" ht="12.75" x14ac:dyDescent="0.2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2:17" s="29" customFormat="1" ht="12.75" x14ac:dyDescent="0.2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2:17" s="29" customFormat="1" ht="12.75" x14ac:dyDescent="0.2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2:17" s="29" customFormat="1" ht="12.75" x14ac:dyDescent="0.2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2:17" s="29" customFormat="1" ht="12.75" x14ac:dyDescent="0.2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2:17" s="29" customFormat="1" ht="12.75" x14ac:dyDescent="0.2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2:17" s="29" customFormat="1" ht="12.75" x14ac:dyDescent="0.2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2:17" s="29" customFormat="1" ht="12.75" x14ac:dyDescent="0.2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2:17" s="29" customFormat="1" ht="12.75" x14ac:dyDescent="0.2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2:17" s="29" customFormat="1" ht="12.75" x14ac:dyDescent="0.2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2:17" s="29" customFormat="1" ht="12.75" x14ac:dyDescent="0.2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2:17" s="29" customFormat="1" ht="12.75" x14ac:dyDescent="0.2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2:17" s="29" customFormat="1" ht="12.75" x14ac:dyDescent="0.2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2:17" s="29" customFormat="1" ht="12.75" x14ac:dyDescent="0.2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2:17" s="29" customFormat="1" ht="12.75" x14ac:dyDescent="0.2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2:17" s="29" customFormat="1" ht="12.75" x14ac:dyDescent="0.2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2:17" s="29" customFormat="1" ht="12.75" x14ac:dyDescent="0.2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2:17" s="29" customFormat="1" ht="12.75" x14ac:dyDescent="0.2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2:17" s="29" customFormat="1" ht="12.75" x14ac:dyDescent="0.2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2:17" s="29" customFormat="1" ht="12.75" x14ac:dyDescent="0.2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2:17" s="29" customFormat="1" ht="12.75" x14ac:dyDescent="0.2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2:17" s="29" customFormat="1" ht="12.75" x14ac:dyDescent="0.2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2:17" s="29" customFormat="1" ht="12.75" x14ac:dyDescent="0.2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2:17" s="29" customFormat="1" ht="12.75" x14ac:dyDescent="0.2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2:17" s="29" customFormat="1" ht="12.75" x14ac:dyDescent="0.2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2:17" s="29" customFormat="1" ht="12.75" x14ac:dyDescent="0.2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2:17" s="29" customFormat="1" ht="12.75" x14ac:dyDescent="0.2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2:17" s="29" customFormat="1" ht="12.75" x14ac:dyDescent="0.2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2:17" s="29" customFormat="1" ht="12.75" x14ac:dyDescent="0.2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2:17" s="29" customFormat="1" ht="12.75" x14ac:dyDescent="0.2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2:17" ht="12.75" customHeight="1" x14ac:dyDescent="0.2"/>
    <row r="311" spans="2:17" ht="12.75" customHeight="1" x14ac:dyDescent="0.2"/>
    <row r="312" spans="2:17" ht="12.75" customHeight="1" x14ac:dyDescent="0.2"/>
    <row r="313" spans="2:17" ht="12.75" customHeight="1" x14ac:dyDescent="0.2"/>
    <row r="314" spans="2:17" ht="12.75" customHeight="1" x14ac:dyDescent="0.2"/>
    <row r="315" spans="2:17" ht="12.75" customHeight="1" x14ac:dyDescent="0.2"/>
    <row r="316" spans="2:17" ht="12.75" customHeight="1" x14ac:dyDescent="0.2"/>
    <row r="317" spans="2:17" ht="12.75" customHeight="1" x14ac:dyDescent="0.2"/>
    <row r="318" spans="2:17" ht="12.75" customHeight="1" x14ac:dyDescent="0.2"/>
    <row r="319" spans="2:17" ht="12.75" customHeight="1" x14ac:dyDescent="0.2"/>
    <row r="320" spans="2:17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</sheetData>
  <mergeCells count="1">
    <mergeCell ref="E149:H149"/>
  </mergeCells>
  <phoneticPr fontId="19" type="noConversion"/>
  <conditionalFormatting sqref="A66:B69 A75:A99 B88:B99">
    <cfRule type="expression" dxfId="11" priority="1" stopIfTrue="1">
      <formula>MOD(ROW(),2)=0</formula>
    </cfRule>
  </conditionalFormatting>
  <conditionalFormatting sqref="C66:N69">
    <cfRule type="cellIs" dxfId="10" priority="4" stopIfTrue="1" operator="between">
      <formula>1</formula>
      <formula>4</formula>
    </cfRule>
    <cfRule type="cellIs" dxfId="9" priority="5" stopIfTrue="1" operator="between">
      <formula>5</formula>
      <formula>8</formula>
    </cfRule>
    <cfRule type="cellIs" dxfId="8" priority="6" stopIfTrue="1" operator="greaterThanOrEqual">
      <formula>9</formula>
    </cfRule>
  </conditionalFormatting>
  <conditionalFormatting sqref="C75:O99">
    <cfRule type="expression" dxfId="7" priority="2" stopIfTrue="1">
      <formula>MOD(ROW(),2)=0</formula>
    </cfRule>
    <cfRule type="expression" dxfId="6" priority="3" stopIfTrue="1">
      <formula>MOD(COLUMN(),2)=0</formula>
    </cfRule>
  </conditionalFormatting>
  <pageMargins left="0.25" right="0.25" top="0.5" bottom="0.45" header="0.25" footer="0.25"/>
  <pageSetup scale="63" orientation="landscape" r:id="rId1"/>
  <headerFooter alignWithMargins="0">
    <oddFooter>&amp;L&amp;7&amp;D  at &amp;T Danny&amp;C&amp;7&amp;F  &amp;A&amp;R&amp;7Page &amp;P of &amp;N</oddFooter>
  </headerFooter>
  <rowBreaks count="1" manualBreakCount="1">
    <brk id="60" max="14" man="1"/>
  </rowBreaks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78"/>
  <sheetViews>
    <sheetView topLeftCell="A210" zoomScaleNormal="100" workbookViewId="0">
      <selection activeCell="D211" sqref="D211"/>
    </sheetView>
  </sheetViews>
  <sheetFormatPr defaultColWidth="0" defaultRowHeight="0" customHeight="1" zeroHeight="1" x14ac:dyDescent="0.2"/>
  <cols>
    <col min="1" max="1" width="38.42578125" style="29" customWidth="1"/>
    <col min="2" max="2" width="2.5703125" hidden="1" customWidth="1"/>
    <col min="3" max="14" width="13.7109375" customWidth="1"/>
    <col min="15" max="15" width="14.7109375" customWidth="1"/>
    <col min="16" max="16" width="1.42578125" customWidth="1"/>
    <col min="17" max="17" width="14.85546875" customWidth="1"/>
    <col min="18" max="16384" width="9.140625" hidden="1"/>
  </cols>
  <sheetData>
    <row r="1" spans="1:15" ht="11.25" hidden="1" customHeight="1" x14ac:dyDescent="0.25">
      <c r="A1" s="31" t="s">
        <v>21</v>
      </c>
      <c r="B1" s="6"/>
      <c r="C1" s="6"/>
      <c r="D1" s="6"/>
      <c r="E1" s="6"/>
      <c r="G1" s="30" t="s">
        <v>27</v>
      </c>
      <c r="H1" s="30"/>
      <c r="I1" s="30"/>
      <c r="J1" s="30"/>
      <c r="K1" s="30"/>
      <c r="L1" s="30"/>
      <c r="M1" s="30"/>
      <c r="N1" s="30"/>
      <c r="O1" s="16"/>
    </row>
    <row r="2" spans="1:15" ht="15.75" hidden="1" x14ac:dyDescent="0.25">
      <c r="A2" s="32" t="s">
        <v>15</v>
      </c>
      <c r="B2" s="10"/>
      <c r="C2" s="10"/>
      <c r="D2" s="10"/>
      <c r="E2" s="10"/>
      <c r="G2" s="30" t="s">
        <v>25</v>
      </c>
      <c r="H2" s="30"/>
      <c r="I2" s="30"/>
      <c r="J2" s="30"/>
      <c r="K2" s="30"/>
      <c r="L2" s="30"/>
      <c r="M2" s="30"/>
      <c r="N2" s="30"/>
      <c r="O2" s="16"/>
    </row>
    <row r="3" spans="1:15" ht="15" hidden="1" x14ac:dyDescent="0.25">
      <c r="A3" s="33" t="s">
        <v>14</v>
      </c>
      <c r="G3" s="30" t="s">
        <v>29</v>
      </c>
      <c r="H3" s="16"/>
      <c r="I3" s="16"/>
      <c r="J3" s="16"/>
      <c r="K3" s="16"/>
      <c r="L3" s="16"/>
      <c r="M3" s="16"/>
      <c r="N3" s="16"/>
      <c r="O3" s="16"/>
    </row>
    <row r="4" spans="1:15" ht="12.75" hidden="1" x14ac:dyDescent="0.2">
      <c r="A4" s="34" t="str">
        <f ca="1">CELL("filename")</f>
        <v>Y:\Revenue Team\Susan Cash\[TOT and TBID projections - Including Measure L 25-26.xlsx]TOT - Baseline</v>
      </c>
    </row>
    <row r="5" spans="1:15" ht="12.75" hidden="1" x14ac:dyDescent="0.2"/>
    <row r="6" spans="1:15" ht="12.75" hidden="1" x14ac:dyDescent="0.2"/>
    <row r="7" spans="1:15" ht="12.75" hidden="1" x14ac:dyDescent="0.2"/>
    <row r="8" spans="1:15" ht="12.75" hidden="1" x14ac:dyDescent="0.2"/>
    <row r="9" spans="1:15" ht="12.75" hidden="1" x14ac:dyDescent="0.2"/>
    <row r="10" spans="1:15" ht="12.75" hidden="1" x14ac:dyDescent="0.2"/>
    <row r="11" spans="1:15" ht="12.75" hidden="1" x14ac:dyDescent="0.2"/>
    <row r="12" spans="1:15" ht="12.75" hidden="1" x14ac:dyDescent="0.2"/>
    <row r="13" spans="1:15" ht="12.75" hidden="1" x14ac:dyDescent="0.2"/>
    <row r="14" spans="1:15" ht="12.75" hidden="1" x14ac:dyDescent="0.2"/>
    <row r="15" spans="1:15" ht="12.75" hidden="1" x14ac:dyDescent="0.2"/>
    <row r="16" spans="1:15" ht="12.75" hidden="1" x14ac:dyDescent="0.2"/>
    <row r="17" ht="12.75" hidden="1" x14ac:dyDescent="0.2"/>
    <row r="18" ht="12.75" hidden="1" x14ac:dyDescent="0.2"/>
    <row r="19" ht="12.75" hidden="1" x14ac:dyDescent="0.2"/>
    <row r="20" ht="12.75" hidden="1" x14ac:dyDescent="0.2"/>
    <row r="21" ht="12.75" hidden="1" x14ac:dyDescent="0.2"/>
    <row r="22" ht="12.75" hidden="1" x14ac:dyDescent="0.2"/>
    <row r="23" ht="12.75" hidden="1" x14ac:dyDescent="0.2"/>
    <row r="24" ht="12.75" hidden="1" x14ac:dyDescent="0.2"/>
    <row r="25" ht="12.75" hidden="1" x14ac:dyDescent="0.2"/>
    <row r="26" ht="12.75" hidden="1" x14ac:dyDescent="0.2"/>
    <row r="27" ht="12.75" hidden="1" x14ac:dyDescent="0.2"/>
    <row r="28" ht="12.75" hidden="1" x14ac:dyDescent="0.2"/>
    <row r="29" ht="12.75" hidden="1" x14ac:dyDescent="0.2"/>
    <row r="30" ht="12.75" hidden="1" x14ac:dyDescent="0.2"/>
    <row r="31" ht="12.75" hidden="1" x14ac:dyDescent="0.2"/>
    <row r="32" ht="12.75" hidden="1" x14ac:dyDescent="0.2"/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  <row r="38" ht="12.75" hidden="1" x14ac:dyDescent="0.2"/>
    <row r="39" ht="12.75" hidden="1" x14ac:dyDescent="0.2"/>
    <row r="40" ht="12.75" hidden="1" x14ac:dyDescent="0.2"/>
    <row r="41" ht="12.75" hidden="1" x14ac:dyDescent="0.2"/>
    <row r="42" ht="12.75" hidden="1" x14ac:dyDescent="0.2"/>
    <row r="43" ht="12.75" hidden="1" x14ac:dyDescent="0.2"/>
    <row r="44" ht="12.75" hidden="1" x14ac:dyDescent="0.2"/>
    <row r="45" ht="12.75" hidden="1" x14ac:dyDescent="0.2"/>
    <row r="46" ht="12.75" hidden="1" x14ac:dyDescent="0.2"/>
    <row r="47" ht="12.75" hidden="1" x14ac:dyDescent="0.2"/>
    <row r="48" ht="12.75" hidden="1" x14ac:dyDescent="0.2"/>
    <row r="49" spans="1:15" ht="12.75" hidden="1" x14ac:dyDescent="0.2"/>
    <row r="50" spans="1:15" ht="12.75" hidden="1" x14ac:dyDescent="0.2"/>
    <row r="51" spans="1:15" ht="12.75" hidden="1" x14ac:dyDescent="0.2"/>
    <row r="52" spans="1:15" ht="12.75" hidden="1" x14ac:dyDescent="0.2"/>
    <row r="53" spans="1:15" ht="12.75" hidden="1" x14ac:dyDescent="0.2"/>
    <row r="54" spans="1:15" ht="12.75" hidden="1" x14ac:dyDescent="0.2"/>
    <row r="55" spans="1:15" ht="12.75" hidden="1" x14ac:dyDescent="0.2"/>
    <row r="56" spans="1:15" ht="12.75" hidden="1" x14ac:dyDescent="0.2"/>
    <row r="57" spans="1:15" ht="12.75" hidden="1" x14ac:dyDescent="0.2"/>
    <row r="58" spans="1:15" ht="12.75" hidden="1" x14ac:dyDescent="0.2"/>
    <row r="59" spans="1:15" ht="12.75" hidden="1" x14ac:dyDescent="0.2"/>
    <row r="60" spans="1:15" ht="12.75" hidden="1" x14ac:dyDescent="0.2"/>
    <row r="61" spans="1:15" ht="11.25" hidden="1" customHeight="1" x14ac:dyDescent="0.2"/>
    <row r="62" spans="1:15" ht="11.25" hidden="1" customHeight="1" x14ac:dyDescent="0.3">
      <c r="A62" s="35" t="s">
        <v>28</v>
      </c>
    </row>
    <row r="63" spans="1:15" ht="11.25" hidden="1" customHeight="1" x14ac:dyDescent="0.2"/>
    <row r="64" spans="1:15" ht="11.25" hidden="1" customHeight="1" x14ac:dyDescent="0.25">
      <c r="A64" s="36" t="s">
        <v>26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8"/>
    </row>
    <row r="65" spans="1:15" ht="12.75" hidden="1" x14ac:dyDescent="0.2">
      <c r="A65" s="37"/>
      <c r="B65" s="21"/>
      <c r="C65" s="22" t="s">
        <v>1</v>
      </c>
      <c r="D65" s="22" t="s">
        <v>2</v>
      </c>
      <c r="E65" s="22" t="s">
        <v>3</v>
      </c>
      <c r="F65" s="22" t="s">
        <v>4</v>
      </c>
      <c r="G65" s="23" t="s">
        <v>5</v>
      </c>
      <c r="H65" s="23" t="s">
        <v>6</v>
      </c>
      <c r="I65" s="23" t="s">
        <v>7</v>
      </c>
      <c r="J65" s="22" t="s">
        <v>8</v>
      </c>
      <c r="K65" s="23" t="s">
        <v>9</v>
      </c>
      <c r="L65" s="23" t="s">
        <v>10</v>
      </c>
      <c r="M65" s="23" t="s">
        <v>11</v>
      </c>
      <c r="N65" s="22" t="s">
        <v>12</v>
      </c>
      <c r="O65" s="26"/>
    </row>
    <row r="66" spans="1:15" ht="12.75" hidden="1" x14ac:dyDescent="0.2">
      <c r="A66" s="38" t="s">
        <v>24</v>
      </c>
      <c r="B66" s="2"/>
      <c r="C66" s="27">
        <f t="shared" ref="C66:N66" si="0">RANK(C100,$C100:$N100)</f>
        <v>1</v>
      </c>
      <c r="D66" s="27">
        <f t="shared" si="0"/>
        <v>2</v>
      </c>
      <c r="E66" s="27">
        <f t="shared" si="0"/>
        <v>4</v>
      </c>
      <c r="F66" s="27">
        <f t="shared" si="0"/>
        <v>6</v>
      </c>
      <c r="G66" s="27">
        <f t="shared" si="0"/>
        <v>10</v>
      </c>
      <c r="H66" s="27">
        <f t="shared" si="0"/>
        <v>9</v>
      </c>
      <c r="I66" s="27">
        <f t="shared" si="0"/>
        <v>7</v>
      </c>
      <c r="J66" s="27">
        <f t="shared" si="0"/>
        <v>5</v>
      </c>
      <c r="K66" s="27">
        <f t="shared" si="0"/>
        <v>8</v>
      </c>
      <c r="L66" s="27">
        <f t="shared" si="0"/>
        <v>12</v>
      </c>
      <c r="M66" s="27">
        <f t="shared" si="0"/>
        <v>11</v>
      </c>
      <c r="N66" s="27">
        <f t="shared" si="0"/>
        <v>3</v>
      </c>
      <c r="O66" s="19"/>
    </row>
    <row r="67" spans="1:15" ht="12.75" hidden="1" x14ac:dyDescent="0.2">
      <c r="A67" s="38">
        <v>2008</v>
      </c>
      <c r="B67" s="2"/>
      <c r="C67" s="27">
        <f t="shared" ref="C67:N67" si="1">RANK(C96,$C96:$N96)</f>
        <v>1</v>
      </c>
      <c r="D67" s="27">
        <f t="shared" si="1"/>
        <v>2</v>
      </c>
      <c r="E67" s="27">
        <f t="shared" si="1"/>
        <v>3</v>
      </c>
      <c r="F67" s="27">
        <f t="shared" si="1"/>
        <v>7</v>
      </c>
      <c r="G67" s="27">
        <f t="shared" si="1"/>
        <v>11</v>
      </c>
      <c r="H67" s="27">
        <f t="shared" si="1"/>
        <v>8</v>
      </c>
      <c r="I67" s="27">
        <f t="shared" si="1"/>
        <v>6</v>
      </c>
      <c r="J67" s="27">
        <f t="shared" si="1"/>
        <v>5</v>
      </c>
      <c r="K67" s="27">
        <f t="shared" si="1"/>
        <v>9</v>
      </c>
      <c r="L67" s="27">
        <f t="shared" si="1"/>
        <v>12</v>
      </c>
      <c r="M67" s="27">
        <f t="shared" si="1"/>
        <v>10</v>
      </c>
      <c r="N67" s="27">
        <f t="shared" si="1"/>
        <v>4</v>
      </c>
      <c r="O67" s="19"/>
    </row>
    <row r="68" spans="1:15" ht="12.75" hidden="1" x14ac:dyDescent="0.2">
      <c r="A68" s="38">
        <v>2009</v>
      </c>
      <c r="B68" s="2"/>
      <c r="C68" s="27">
        <f t="shared" ref="C68:N68" si="2">RANK(C97,$C97:$N97)</f>
        <v>2</v>
      </c>
      <c r="D68" s="27">
        <f t="shared" si="2"/>
        <v>3</v>
      </c>
      <c r="E68" s="27">
        <f t="shared" si="2"/>
        <v>4</v>
      </c>
      <c r="F68" s="27">
        <f t="shared" si="2"/>
        <v>6</v>
      </c>
      <c r="G68" s="27">
        <f t="shared" si="2"/>
        <v>10</v>
      </c>
      <c r="H68" s="27">
        <f t="shared" si="2"/>
        <v>9</v>
      </c>
      <c r="I68" s="27">
        <f t="shared" si="2"/>
        <v>7</v>
      </c>
      <c r="J68" s="27">
        <f t="shared" si="2"/>
        <v>5</v>
      </c>
      <c r="K68" s="27">
        <f t="shared" si="2"/>
        <v>8</v>
      </c>
      <c r="L68" s="27">
        <f t="shared" si="2"/>
        <v>11</v>
      </c>
      <c r="M68" s="27">
        <f t="shared" si="2"/>
        <v>12</v>
      </c>
      <c r="N68" s="27">
        <f t="shared" si="2"/>
        <v>1</v>
      </c>
      <c r="O68" s="19"/>
    </row>
    <row r="69" spans="1:15" ht="12.75" hidden="1" x14ac:dyDescent="0.2">
      <c r="A69" s="39">
        <v>2010</v>
      </c>
      <c r="B69" s="18"/>
      <c r="C69" s="28">
        <f t="shared" ref="C69:N69" si="3">RANK(C98,$C98:$N98)</f>
        <v>3</v>
      </c>
      <c r="D69" s="28">
        <f t="shared" si="3"/>
        <v>2</v>
      </c>
      <c r="E69" s="28">
        <f t="shared" si="3"/>
        <v>4</v>
      </c>
      <c r="F69" s="28">
        <f t="shared" si="3"/>
        <v>5</v>
      </c>
      <c r="G69" s="28">
        <f t="shared" si="3"/>
        <v>10</v>
      </c>
      <c r="H69" s="28">
        <f t="shared" si="3"/>
        <v>9</v>
      </c>
      <c r="I69" s="28">
        <f t="shared" si="3"/>
        <v>7</v>
      </c>
      <c r="J69" s="28">
        <f t="shared" si="3"/>
        <v>6</v>
      </c>
      <c r="K69" s="28">
        <f t="shared" si="3"/>
        <v>8</v>
      </c>
      <c r="L69" s="28">
        <f t="shared" si="3"/>
        <v>12</v>
      </c>
      <c r="M69" s="28">
        <f t="shared" si="3"/>
        <v>11</v>
      </c>
      <c r="N69" s="28">
        <f t="shared" si="3"/>
        <v>1</v>
      </c>
      <c r="O69" s="20"/>
    </row>
    <row r="70" spans="1:15" ht="11.25" hidden="1" customHeight="1" x14ac:dyDescent="0.2">
      <c r="C70" s="1"/>
      <c r="D70" s="1"/>
      <c r="E70" s="1"/>
      <c r="F70" s="1"/>
      <c r="G70" s="9"/>
      <c r="H70" s="1"/>
      <c r="I70" s="1"/>
      <c r="J70" s="1"/>
      <c r="K70" s="1"/>
      <c r="L70" s="1"/>
      <c r="M70" s="1"/>
      <c r="N70" s="1"/>
      <c r="O70" s="1"/>
    </row>
    <row r="71" spans="1:15" ht="12.75" hidden="1" x14ac:dyDescent="0.2">
      <c r="A71" s="29" t="s">
        <v>13</v>
      </c>
      <c r="C71" s="14" t="s">
        <v>23</v>
      </c>
      <c r="D71" s="12" t="s">
        <v>18</v>
      </c>
      <c r="E71" s="15" t="s">
        <v>22</v>
      </c>
      <c r="F71" s="13" t="s">
        <v>19</v>
      </c>
    </row>
    <row r="72" spans="1:15" ht="15" hidden="1" x14ac:dyDescent="0.25">
      <c r="A72" s="64" t="s">
        <v>43</v>
      </c>
    </row>
    <row r="73" spans="1:15" ht="11.25" hidden="1" customHeight="1" x14ac:dyDescent="0.25">
      <c r="A73" s="36" t="s">
        <v>32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8"/>
    </row>
    <row r="74" spans="1:15" ht="11.25" hidden="1" customHeight="1" thickBot="1" x14ac:dyDescent="0.25">
      <c r="A74" s="40" t="s">
        <v>17</v>
      </c>
      <c r="B74" s="21"/>
      <c r="C74" s="22" t="s">
        <v>1</v>
      </c>
      <c r="D74" s="22" t="s">
        <v>2</v>
      </c>
      <c r="E74" s="22" t="s">
        <v>3</v>
      </c>
      <c r="F74" s="22" t="s">
        <v>4</v>
      </c>
      <c r="G74" s="23" t="s">
        <v>5</v>
      </c>
      <c r="H74" s="23" t="s">
        <v>6</v>
      </c>
      <c r="I74" s="23" t="s">
        <v>7</v>
      </c>
      <c r="J74" s="22" t="s">
        <v>8</v>
      </c>
      <c r="K74" s="23" t="s">
        <v>9</v>
      </c>
      <c r="L74" s="23" t="s">
        <v>10</v>
      </c>
      <c r="M74" s="23" t="s">
        <v>11</v>
      </c>
      <c r="N74" s="22" t="s">
        <v>12</v>
      </c>
      <c r="O74" s="24" t="s">
        <v>16</v>
      </c>
    </row>
    <row r="75" spans="1:15" ht="11.25" hidden="1" customHeight="1" x14ac:dyDescent="0.2">
      <c r="A75" s="41">
        <v>1987</v>
      </c>
      <c r="B75" s="4" t="s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40753.68</v>
      </c>
      <c r="M75" s="5">
        <v>105004.7</v>
      </c>
      <c r="N75" s="5">
        <v>415572.58</v>
      </c>
      <c r="O75" s="25">
        <v>561330.96</v>
      </c>
    </row>
    <row r="76" spans="1:15" ht="11.25" hidden="1" customHeight="1" x14ac:dyDescent="0.2">
      <c r="A76" s="38">
        <v>1988</v>
      </c>
      <c r="B76" s="2"/>
      <c r="C76" s="11">
        <v>463452.35</v>
      </c>
      <c r="D76" s="3">
        <v>472434.36</v>
      </c>
      <c r="E76" s="3">
        <v>409128.74</v>
      </c>
      <c r="F76" s="3">
        <v>142193.84</v>
      </c>
      <c r="G76" s="3">
        <v>87457.919999999998</v>
      </c>
      <c r="H76" s="3">
        <v>86997.35</v>
      </c>
      <c r="I76" s="3">
        <v>134911.25</v>
      </c>
      <c r="J76" s="3">
        <v>149556.70000000001</v>
      </c>
      <c r="K76" s="3">
        <v>94496.38</v>
      </c>
      <c r="L76" s="3">
        <v>59492.53</v>
      </c>
      <c r="M76" s="3">
        <v>97146.1</v>
      </c>
      <c r="N76" s="3">
        <v>433345.21</v>
      </c>
      <c r="O76" s="19">
        <v>2630612.73</v>
      </c>
    </row>
    <row r="77" spans="1:15" ht="11.25" hidden="1" customHeight="1" x14ac:dyDescent="0.2">
      <c r="A77" s="38">
        <v>1989</v>
      </c>
      <c r="B77" s="2"/>
      <c r="C77" s="3">
        <v>536836.18999999994</v>
      </c>
      <c r="D77" s="3">
        <v>499601.77</v>
      </c>
      <c r="E77" s="3">
        <v>470505.99</v>
      </c>
      <c r="F77" s="3">
        <v>162648.19</v>
      </c>
      <c r="G77" s="3">
        <v>78212.41</v>
      </c>
      <c r="H77" s="3">
        <v>98658.43</v>
      </c>
      <c r="I77" s="3">
        <v>152397.97</v>
      </c>
      <c r="J77" s="3">
        <v>173089.84</v>
      </c>
      <c r="K77" s="3">
        <v>133662.94</v>
      </c>
      <c r="L77" s="3">
        <v>71339.95</v>
      </c>
      <c r="M77" s="3">
        <v>107145.1</v>
      </c>
      <c r="N77" s="3">
        <v>462190.29</v>
      </c>
      <c r="O77" s="19">
        <v>2946289.07</v>
      </c>
    </row>
    <row r="78" spans="1:15" ht="11.25" hidden="1" customHeight="1" x14ac:dyDescent="0.2">
      <c r="A78" s="38">
        <v>1990</v>
      </c>
      <c r="B78" s="2"/>
      <c r="C78" s="3">
        <v>439439.37</v>
      </c>
      <c r="D78" s="3">
        <v>545967.43999999994</v>
      </c>
      <c r="E78" s="3">
        <v>508021.44</v>
      </c>
      <c r="F78" s="3">
        <v>201558.86</v>
      </c>
      <c r="G78" s="3">
        <v>79244.399999999994</v>
      </c>
      <c r="H78" s="3">
        <v>112115.66</v>
      </c>
      <c r="I78" s="3">
        <v>154214.65</v>
      </c>
      <c r="J78" s="3">
        <v>194316.58</v>
      </c>
      <c r="K78" s="3">
        <v>117471.01</v>
      </c>
      <c r="L78" s="3">
        <v>67224.78</v>
      </c>
      <c r="M78" s="3">
        <v>50272.93</v>
      </c>
      <c r="N78" s="3">
        <v>294770.87</v>
      </c>
      <c r="O78" s="19">
        <v>2764617.99</v>
      </c>
    </row>
    <row r="79" spans="1:15" ht="11.25" hidden="1" customHeight="1" x14ac:dyDescent="0.2">
      <c r="A79" s="38">
        <v>1991</v>
      </c>
      <c r="B79" s="2"/>
      <c r="C79" s="3">
        <v>262914.59000000003</v>
      </c>
      <c r="D79" s="3">
        <v>123916.4</v>
      </c>
      <c r="E79" s="3">
        <v>245607.26</v>
      </c>
      <c r="F79" s="3">
        <v>242464.21</v>
      </c>
      <c r="G79" s="3">
        <v>95245.37</v>
      </c>
      <c r="H79" s="3">
        <v>114679.29</v>
      </c>
      <c r="I79" s="3">
        <v>184564.63</v>
      </c>
      <c r="J79" s="3">
        <v>232500.49</v>
      </c>
      <c r="K79" s="3">
        <v>131630.29</v>
      </c>
      <c r="L79" s="3">
        <v>73999.28</v>
      </c>
      <c r="M79" s="3">
        <v>112156.55</v>
      </c>
      <c r="N79" s="3">
        <v>375874.24</v>
      </c>
      <c r="O79" s="19">
        <v>2195552.6</v>
      </c>
    </row>
    <row r="80" spans="1:15" ht="11.25" hidden="1" customHeight="1" x14ac:dyDescent="0.2">
      <c r="A80" s="38">
        <v>1992</v>
      </c>
      <c r="B80" s="2"/>
      <c r="C80" s="3">
        <v>472900.33</v>
      </c>
      <c r="D80" s="3">
        <v>510134.53</v>
      </c>
      <c r="E80" s="3">
        <v>406748.64</v>
      </c>
      <c r="F80" s="3">
        <v>218546.43</v>
      </c>
      <c r="G80" s="3">
        <v>79760.070000000007</v>
      </c>
      <c r="H80" s="3">
        <v>143001.62</v>
      </c>
      <c r="I80" s="3">
        <v>211053.18</v>
      </c>
      <c r="J80" s="3">
        <v>246729.05</v>
      </c>
      <c r="K80" s="3">
        <v>148611.32</v>
      </c>
      <c r="L80" s="3">
        <v>83024.850000000006</v>
      </c>
      <c r="M80" s="3">
        <v>99553.89</v>
      </c>
      <c r="N80" s="3">
        <v>447468.29</v>
      </c>
      <c r="O80" s="19">
        <v>3067532.2</v>
      </c>
    </row>
    <row r="81" spans="1:15" ht="11.25" hidden="1" customHeight="1" x14ac:dyDescent="0.2">
      <c r="A81" s="38">
        <v>1993</v>
      </c>
      <c r="B81" s="2"/>
      <c r="C81" s="3">
        <v>506131.61</v>
      </c>
      <c r="D81" s="3">
        <v>495873.92</v>
      </c>
      <c r="E81" s="3">
        <v>439404.44</v>
      </c>
      <c r="F81" s="3">
        <v>278635.56</v>
      </c>
      <c r="G81" s="3">
        <v>104313.03</v>
      </c>
      <c r="H81" s="3">
        <v>102580.43</v>
      </c>
      <c r="I81" s="3">
        <v>259693.13</v>
      </c>
      <c r="J81" s="3">
        <v>277157.59000000003</v>
      </c>
      <c r="K81" s="3">
        <v>174886.59</v>
      </c>
      <c r="L81" s="3">
        <v>87942.81</v>
      </c>
      <c r="M81" s="3">
        <v>76242.34</v>
      </c>
      <c r="N81" s="3">
        <v>457775.51</v>
      </c>
      <c r="O81" s="19">
        <v>3260636.96</v>
      </c>
    </row>
    <row r="82" spans="1:15" ht="11.25" hidden="1" customHeight="1" x14ac:dyDescent="0.2">
      <c r="A82" s="38">
        <v>1994</v>
      </c>
      <c r="B82" s="2"/>
      <c r="C82" s="3">
        <v>298395.3</v>
      </c>
      <c r="D82" s="3">
        <v>374297.05</v>
      </c>
      <c r="E82" s="3">
        <v>409666.02</v>
      </c>
      <c r="F82" s="3">
        <v>193356.27</v>
      </c>
      <c r="G82" s="3">
        <v>96701.87</v>
      </c>
      <c r="H82" s="3">
        <v>138342.51</v>
      </c>
      <c r="I82" s="3">
        <v>278770.78999999998</v>
      </c>
      <c r="J82" s="3">
        <v>298439.09999999998</v>
      </c>
      <c r="K82" s="3">
        <v>180416.91</v>
      </c>
      <c r="L82" s="3">
        <v>86567.88</v>
      </c>
      <c r="M82" s="3">
        <v>123967.09</v>
      </c>
      <c r="N82" s="3">
        <v>562631.86</v>
      </c>
      <c r="O82" s="19">
        <v>3041552.65</v>
      </c>
    </row>
    <row r="83" spans="1:15" ht="11.25" hidden="1" customHeight="1" x14ac:dyDescent="0.2">
      <c r="A83" s="38">
        <v>1995</v>
      </c>
      <c r="B83" s="2"/>
      <c r="C83" s="3">
        <v>483553.57</v>
      </c>
      <c r="D83" s="3">
        <v>586796.65</v>
      </c>
      <c r="E83" s="3">
        <v>491492.17</v>
      </c>
      <c r="F83" s="3">
        <v>353132.56</v>
      </c>
      <c r="G83" s="3">
        <v>150945.68</v>
      </c>
      <c r="H83" s="3">
        <v>144365.35999999999</v>
      </c>
      <c r="I83" s="3">
        <v>324951.67999999999</v>
      </c>
      <c r="J83" s="3">
        <v>360239.95</v>
      </c>
      <c r="K83" s="3">
        <v>208353.46</v>
      </c>
      <c r="L83" s="3">
        <v>114480.21</v>
      </c>
      <c r="M83" s="3">
        <v>76169.86</v>
      </c>
      <c r="N83" s="3">
        <v>520877.66</v>
      </c>
      <c r="O83" s="19">
        <v>3815358.81</v>
      </c>
    </row>
    <row r="84" spans="1:15" ht="11.25" hidden="1" customHeight="1" x14ac:dyDescent="0.2">
      <c r="A84" s="38">
        <v>1996</v>
      </c>
      <c r="B84" s="2"/>
      <c r="C84" s="3">
        <v>429304.67</v>
      </c>
      <c r="D84" s="3">
        <v>584715.31000000006</v>
      </c>
      <c r="E84" s="3">
        <v>558667.42000000004</v>
      </c>
      <c r="F84" s="3">
        <v>299529.21999999997</v>
      </c>
      <c r="G84" s="3">
        <v>113355.93</v>
      </c>
      <c r="H84" s="3">
        <v>165718.5</v>
      </c>
      <c r="I84" s="3">
        <v>302001.43</v>
      </c>
      <c r="J84" s="3">
        <v>403057.34</v>
      </c>
      <c r="K84" s="3">
        <v>213808.91</v>
      </c>
      <c r="L84" s="3">
        <v>115827.65</v>
      </c>
      <c r="M84" s="3">
        <v>143193.81</v>
      </c>
      <c r="N84" s="3">
        <v>587674.38</v>
      </c>
      <c r="O84" s="19">
        <v>3916854.57</v>
      </c>
    </row>
    <row r="85" spans="1:15" ht="11.25" hidden="1" customHeight="1" x14ac:dyDescent="0.2">
      <c r="A85" s="38">
        <v>1997</v>
      </c>
      <c r="B85" s="2"/>
      <c r="C85" s="3">
        <v>610952.32999999996</v>
      </c>
      <c r="D85" s="3">
        <v>605804.41</v>
      </c>
      <c r="E85" s="3">
        <v>543248.56999999995</v>
      </c>
      <c r="F85" s="3">
        <v>248144.98</v>
      </c>
      <c r="G85" s="3">
        <v>113560.4</v>
      </c>
      <c r="H85" s="3">
        <v>156371.32999999999</v>
      </c>
      <c r="I85" s="3">
        <v>352158.87</v>
      </c>
      <c r="J85" s="3">
        <v>432903.87</v>
      </c>
      <c r="K85" s="3">
        <v>197028.68</v>
      </c>
      <c r="L85" s="3">
        <v>105350.97</v>
      </c>
      <c r="M85" s="3">
        <v>149324.69</v>
      </c>
      <c r="N85" s="3">
        <v>607510.18000000005</v>
      </c>
      <c r="O85" s="19">
        <v>4122359.28</v>
      </c>
    </row>
    <row r="86" spans="1:15" ht="11.25" hidden="1" customHeight="1" x14ac:dyDescent="0.2">
      <c r="A86" s="38">
        <v>1998</v>
      </c>
      <c r="B86" s="2"/>
      <c r="C86" s="3">
        <v>607180.06000000006</v>
      </c>
      <c r="D86" s="3">
        <v>574591.09</v>
      </c>
      <c r="E86" s="3">
        <v>486660.61</v>
      </c>
      <c r="F86" s="3">
        <v>404566.6</v>
      </c>
      <c r="G86" s="3">
        <v>150222.07999999999</v>
      </c>
      <c r="H86" s="3">
        <v>150992.16</v>
      </c>
      <c r="I86" s="3">
        <v>340016.04</v>
      </c>
      <c r="J86" s="3">
        <v>407522.85</v>
      </c>
      <c r="K86" s="3">
        <v>229102</v>
      </c>
      <c r="L86" s="3">
        <v>116912.65</v>
      </c>
      <c r="M86" s="3">
        <v>144637.32</v>
      </c>
      <c r="N86" s="3">
        <v>651639.52</v>
      </c>
      <c r="O86" s="19">
        <v>4264042.9800000004</v>
      </c>
    </row>
    <row r="87" spans="1:15" ht="11.25" hidden="1" customHeight="1" x14ac:dyDescent="0.2">
      <c r="A87" s="38">
        <v>1999</v>
      </c>
      <c r="B87" s="2"/>
      <c r="C87" s="3">
        <v>578887.85</v>
      </c>
      <c r="D87" s="3">
        <v>637336.27</v>
      </c>
      <c r="E87" s="3">
        <v>556415.39</v>
      </c>
      <c r="F87" s="3">
        <v>396724.69</v>
      </c>
      <c r="G87" s="3">
        <v>136734.04</v>
      </c>
      <c r="H87" s="3">
        <v>187187.06</v>
      </c>
      <c r="I87" s="3">
        <v>396679.72</v>
      </c>
      <c r="J87" s="3">
        <v>464124.57</v>
      </c>
      <c r="K87" s="3">
        <v>251723.76</v>
      </c>
      <c r="L87" s="3">
        <v>140037.32</v>
      </c>
      <c r="M87" s="3">
        <v>135947.99</v>
      </c>
      <c r="N87" s="3">
        <v>648915.36</v>
      </c>
      <c r="O87" s="19">
        <v>4530714.0199999996</v>
      </c>
    </row>
    <row r="88" spans="1:15" ht="11.25" hidden="1" customHeight="1" x14ac:dyDescent="0.2">
      <c r="A88" s="38">
        <v>2000</v>
      </c>
      <c r="B88" s="2"/>
      <c r="C88" s="17">
        <v>570569.21</v>
      </c>
      <c r="D88" s="17">
        <v>762658.81</v>
      </c>
      <c r="E88" s="17">
        <v>698743.16</v>
      </c>
      <c r="F88" s="17">
        <v>508698.68</v>
      </c>
      <c r="G88" s="17">
        <v>179419.37</v>
      </c>
      <c r="H88" s="17">
        <v>233604.31</v>
      </c>
      <c r="I88" s="17">
        <v>405034.16</v>
      </c>
      <c r="J88" s="17">
        <v>491075.05</v>
      </c>
      <c r="K88" s="17">
        <v>293213.24</v>
      </c>
      <c r="L88" s="17">
        <v>149582.57</v>
      </c>
      <c r="M88" s="17">
        <v>239611.35</v>
      </c>
      <c r="N88" s="17">
        <v>750499.73</v>
      </c>
      <c r="O88" s="19">
        <v>5282709.6399999997</v>
      </c>
    </row>
    <row r="89" spans="1:15" ht="11.25" hidden="1" customHeight="1" x14ac:dyDescent="0.2">
      <c r="A89" s="38">
        <v>2001</v>
      </c>
      <c r="B89" s="2"/>
      <c r="C89" s="17">
        <v>728716.76</v>
      </c>
      <c r="D89" s="17">
        <v>792083.1</v>
      </c>
      <c r="E89" s="17">
        <v>783561.72</v>
      </c>
      <c r="F89" s="17">
        <v>519773.32</v>
      </c>
      <c r="G89" s="17">
        <v>161990.51</v>
      </c>
      <c r="H89" s="17">
        <v>222625.44</v>
      </c>
      <c r="I89" s="17">
        <v>413926.97</v>
      </c>
      <c r="J89" s="17">
        <v>504875.25</v>
      </c>
      <c r="K89" s="17">
        <v>234002.88</v>
      </c>
      <c r="L89" s="17">
        <v>140746.62</v>
      </c>
      <c r="M89" s="17">
        <v>194773.08</v>
      </c>
      <c r="N89" s="17">
        <v>797595.82</v>
      </c>
      <c r="O89" s="19">
        <v>5494671.4699999997</v>
      </c>
    </row>
    <row r="90" spans="1:15" ht="11.25" hidden="1" customHeight="1" x14ac:dyDescent="0.2">
      <c r="A90" s="38">
        <v>2002</v>
      </c>
      <c r="B90" s="2"/>
      <c r="C90" s="17">
        <v>946643.95</v>
      </c>
      <c r="D90" s="17">
        <v>931138.59</v>
      </c>
      <c r="E90" s="17">
        <v>951762.57</v>
      </c>
      <c r="F90" s="17">
        <v>485695.12</v>
      </c>
      <c r="G90" s="17">
        <v>158154.64000000001</v>
      </c>
      <c r="H90" s="17">
        <v>237507.39</v>
      </c>
      <c r="I90" s="17">
        <v>501759.65</v>
      </c>
      <c r="J90" s="17">
        <v>632035.69999999995</v>
      </c>
      <c r="K90" s="17">
        <v>277920.25</v>
      </c>
      <c r="L90" s="17">
        <v>163978.66</v>
      </c>
      <c r="M90" s="17">
        <v>272821.28999999998</v>
      </c>
      <c r="N90" s="17">
        <v>1070225.57</v>
      </c>
      <c r="O90" s="19">
        <v>6629643.3799999999</v>
      </c>
    </row>
    <row r="91" spans="1:15" ht="11.25" hidden="1" customHeight="1" x14ac:dyDescent="0.2">
      <c r="A91" s="38">
        <v>2003</v>
      </c>
      <c r="B91" s="2"/>
      <c r="C91" s="17">
        <v>1314261.8400000001</v>
      </c>
      <c r="D91" s="17">
        <v>1172804.77</v>
      </c>
      <c r="E91" s="17">
        <v>1002502.67</v>
      </c>
      <c r="F91" s="17">
        <v>709244.59</v>
      </c>
      <c r="G91" s="17">
        <v>250928.83</v>
      </c>
      <c r="H91" s="17">
        <v>297610.82</v>
      </c>
      <c r="I91" s="17">
        <v>502061.43</v>
      </c>
      <c r="J91" s="17">
        <v>681954.07</v>
      </c>
      <c r="K91" s="17">
        <v>279238.49</v>
      </c>
      <c r="L91" s="17">
        <v>181952.41</v>
      </c>
      <c r="M91" s="17">
        <v>337244.42</v>
      </c>
      <c r="N91" s="17">
        <v>1202881.23</v>
      </c>
      <c r="O91" s="19">
        <v>7932685.5700000003</v>
      </c>
    </row>
    <row r="92" spans="1:15" ht="11.25" hidden="1" customHeight="1" x14ac:dyDescent="0.2">
      <c r="A92" s="38">
        <v>2004</v>
      </c>
      <c r="B92" s="2"/>
      <c r="C92" s="17">
        <v>1467543.3</v>
      </c>
      <c r="D92" s="17">
        <v>1440352.9</v>
      </c>
      <c r="E92" s="17">
        <v>1010021.49</v>
      </c>
      <c r="F92" s="17">
        <v>759880.69</v>
      </c>
      <c r="G92" s="17">
        <v>216661.7</v>
      </c>
      <c r="H92" s="17">
        <v>304198.32</v>
      </c>
      <c r="I92" s="17">
        <v>548171.39</v>
      </c>
      <c r="J92" s="17">
        <v>649274.77</v>
      </c>
      <c r="K92" s="17">
        <v>346240.77</v>
      </c>
      <c r="L92" s="17">
        <v>218488.29</v>
      </c>
      <c r="M92" s="17">
        <v>562771.69999999995</v>
      </c>
      <c r="N92" s="17">
        <v>1536988.98</v>
      </c>
      <c r="O92" s="19">
        <v>9060594.3000000007</v>
      </c>
    </row>
    <row r="93" spans="1:15" ht="11.25" hidden="1" customHeight="1" x14ac:dyDescent="0.2">
      <c r="A93" s="43">
        <v>2005</v>
      </c>
      <c r="B93" s="44"/>
      <c r="C93" s="45">
        <v>1560023.19</v>
      </c>
      <c r="D93" s="45">
        <v>1452363.59</v>
      </c>
      <c r="E93" s="45">
        <v>1380408.13</v>
      </c>
      <c r="F93" s="45">
        <v>761041.73</v>
      </c>
      <c r="G93" s="45">
        <v>319430.55</v>
      </c>
      <c r="H93" s="45">
        <v>302440.63</v>
      </c>
      <c r="I93" s="45">
        <v>596232.93000000005</v>
      </c>
      <c r="J93" s="45">
        <v>691489.42</v>
      </c>
      <c r="K93" s="45">
        <v>399704.03</v>
      </c>
      <c r="L93" s="45">
        <v>206557.29</v>
      </c>
      <c r="M93" s="45">
        <v>352820.09</v>
      </c>
      <c r="N93" s="45">
        <v>1496933.21</v>
      </c>
      <c r="O93" s="46">
        <v>9519444.7899999991</v>
      </c>
    </row>
    <row r="94" spans="1:15" ht="11.25" hidden="1" customHeight="1" x14ac:dyDescent="0.2">
      <c r="A94" s="47">
        <v>2006</v>
      </c>
      <c r="B94" s="48"/>
      <c r="C94" s="49">
        <v>1826143.45</v>
      </c>
      <c r="D94" s="50">
        <v>1658132.64</v>
      </c>
      <c r="E94" s="50">
        <v>1453623.67</v>
      </c>
      <c r="F94" s="50">
        <v>1276119.56</v>
      </c>
      <c r="G94" s="50">
        <v>341666.52</v>
      </c>
      <c r="H94" s="50">
        <v>350521.86</v>
      </c>
      <c r="I94" s="50">
        <v>633260.72</v>
      </c>
      <c r="J94" s="50">
        <v>718340.28</v>
      </c>
      <c r="K94" s="50">
        <v>404528.27</v>
      </c>
      <c r="L94" s="50">
        <v>240540.81</v>
      </c>
      <c r="M94" s="50">
        <v>275920.8</v>
      </c>
      <c r="N94" s="50">
        <v>1455122.28</v>
      </c>
      <c r="O94" s="49">
        <v>10633920.859999999</v>
      </c>
    </row>
    <row r="95" spans="1:15" ht="11.25" hidden="1" customHeight="1" x14ac:dyDescent="0.2">
      <c r="A95" s="47">
        <v>2007</v>
      </c>
      <c r="B95" s="48"/>
      <c r="C95" s="50">
        <v>1694967.43</v>
      </c>
      <c r="D95" s="50">
        <v>1583253.15</v>
      </c>
      <c r="E95" s="50">
        <v>1249350.3500000001</v>
      </c>
      <c r="F95" s="50">
        <v>765323.31</v>
      </c>
      <c r="G95" s="50">
        <v>241871.46</v>
      </c>
      <c r="H95" s="50">
        <v>363885.65</v>
      </c>
      <c r="I95" s="50">
        <v>690020.49</v>
      </c>
      <c r="J95" s="50">
        <v>850957.86</v>
      </c>
      <c r="K95" s="50">
        <v>382540.55</v>
      </c>
      <c r="L95" s="50">
        <v>191090.25</v>
      </c>
      <c r="M95" s="50">
        <v>202901.75</v>
      </c>
      <c r="N95" s="50">
        <v>1533029.98</v>
      </c>
      <c r="O95" s="50">
        <f>SUM(C95:N95)</f>
        <v>9749192.2300000004</v>
      </c>
    </row>
    <row r="96" spans="1:15" ht="11.25" hidden="1" customHeight="1" x14ac:dyDescent="0.2">
      <c r="A96" s="47">
        <v>2008</v>
      </c>
      <c r="B96" s="48"/>
      <c r="C96" s="50">
        <v>1926938.65</v>
      </c>
      <c r="D96" s="50">
        <v>1890815.42</v>
      </c>
      <c r="E96" s="50">
        <v>1732074.91</v>
      </c>
      <c r="F96" s="50">
        <v>612594.14</v>
      </c>
      <c r="G96" s="50">
        <v>245108.26</v>
      </c>
      <c r="H96" s="50">
        <v>410409.49</v>
      </c>
      <c r="I96" s="50">
        <v>726330.75</v>
      </c>
      <c r="J96" s="50">
        <v>973546.78</v>
      </c>
      <c r="K96" s="50">
        <v>379749.07</v>
      </c>
      <c r="L96" s="50">
        <v>232426.88</v>
      </c>
      <c r="M96" s="50">
        <v>247159.02</v>
      </c>
      <c r="N96" s="50">
        <v>1591895.82</v>
      </c>
      <c r="O96" s="50">
        <f>SUM(C96:N96)</f>
        <v>10969049.189999999</v>
      </c>
    </row>
    <row r="97" spans="1:15" ht="11.25" hidden="1" customHeight="1" x14ac:dyDescent="0.2">
      <c r="A97" s="47">
        <v>2009</v>
      </c>
      <c r="B97" s="48"/>
      <c r="C97" s="50">
        <v>1561522.76</v>
      </c>
      <c r="D97" s="50">
        <v>1477336.19</v>
      </c>
      <c r="E97" s="50">
        <v>1028557.53</v>
      </c>
      <c r="F97" s="50">
        <v>774077.97</v>
      </c>
      <c r="G97" s="50">
        <v>299319.63</v>
      </c>
      <c r="H97" s="50">
        <v>369381.79</v>
      </c>
      <c r="I97" s="50">
        <v>745573.43</v>
      </c>
      <c r="J97" s="50">
        <v>866031.41</v>
      </c>
      <c r="K97" s="50">
        <v>421338.13</v>
      </c>
      <c r="L97" s="50">
        <v>210612.61</v>
      </c>
      <c r="M97" s="50">
        <v>208008.12</v>
      </c>
      <c r="N97" s="50">
        <v>1739523.1</v>
      </c>
      <c r="O97" s="50">
        <f>SUM(C97:N97)</f>
        <v>9701282.6699999999</v>
      </c>
    </row>
    <row r="98" spans="1:15" ht="19.5" hidden="1" customHeight="1" x14ac:dyDescent="0.2">
      <c r="A98" s="47">
        <v>2010</v>
      </c>
      <c r="B98" s="48"/>
      <c r="C98" s="50">
        <v>1680971.53</v>
      </c>
      <c r="D98" s="50">
        <v>1687681.97</v>
      </c>
      <c r="E98" s="50">
        <v>1263119.3999999999</v>
      </c>
      <c r="F98" s="50">
        <v>971474.32</v>
      </c>
      <c r="G98" s="50">
        <v>303678.87</v>
      </c>
      <c r="H98" s="50">
        <v>383274.03</v>
      </c>
      <c r="I98" s="50">
        <v>833809.03</v>
      </c>
      <c r="J98" s="50">
        <v>934572.21</v>
      </c>
      <c r="K98" s="50">
        <v>471611.94</v>
      </c>
      <c r="L98" s="50">
        <v>229609.13</v>
      </c>
      <c r="M98" s="50">
        <v>302313.64</v>
      </c>
      <c r="N98" s="50">
        <v>1948907.85</v>
      </c>
      <c r="O98" s="50">
        <f>SUM(C98:N98)</f>
        <v>11011023.920000002</v>
      </c>
    </row>
    <row r="99" spans="1:15" ht="16.5" hidden="1" customHeight="1" x14ac:dyDescent="0.2">
      <c r="A99" s="47">
        <v>2011</v>
      </c>
      <c r="B99" s="51" t="s">
        <v>30</v>
      </c>
      <c r="C99" s="50">
        <v>1685441.88</v>
      </c>
      <c r="D99" s="50">
        <v>1672979.16</v>
      </c>
      <c r="E99" s="50">
        <v>1338510.8799999999</v>
      </c>
      <c r="F99" s="50">
        <v>985216.2</v>
      </c>
      <c r="G99" s="50">
        <v>356001.11</v>
      </c>
      <c r="H99" s="50">
        <v>450743.67</v>
      </c>
      <c r="I99" s="50">
        <v>947128.92</v>
      </c>
      <c r="J99" s="50">
        <v>1061916.97</v>
      </c>
      <c r="K99" s="50">
        <v>565779.42000000004</v>
      </c>
      <c r="L99" s="52">
        <v>278211.78000000003</v>
      </c>
      <c r="M99" s="52">
        <v>315260.75</v>
      </c>
      <c r="N99" s="52">
        <v>1667285.49</v>
      </c>
      <c r="O99" s="50">
        <f>SUM(C99:N99)</f>
        <v>11324476.23</v>
      </c>
    </row>
    <row r="100" spans="1:15" s="57" customFormat="1" ht="18" hidden="1" customHeight="1" x14ac:dyDescent="0.2">
      <c r="A100" s="53" t="s">
        <v>24</v>
      </c>
      <c r="B100" s="54"/>
      <c r="C100" s="55">
        <f t="shared" ref="C100:O100" si="4">AVERAGE(C94:C99)</f>
        <v>1729330.95</v>
      </c>
      <c r="D100" s="56">
        <f t="shared" si="4"/>
        <v>1661699.7549999999</v>
      </c>
      <c r="E100" s="56">
        <f t="shared" si="4"/>
        <v>1344206.1233333333</v>
      </c>
      <c r="F100" s="56">
        <f t="shared" si="4"/>
        <v>897467.58333333349</v>
      </c>
      <c r="G100" s="56">
        <f t="shared" si="4"/>
        <v>297940.97500000003</v>
      </c>
      <c r="H100" s="56">
        <f t="shared" si="4"/>
        <v>388036.08166666672</v>
      </c>
      <c r="I100" s="56">
        <f t="shared" si="4"/>
        <v>762687.22333333327</v>
      </c>
      <c r="J100" s="56">
        <f t="shared" si="4"/>
        <v>900894.25166666659</v>
      </c>
      <c r="K100" s="56">
        <f t="shared" si="4"/>
        <v>437591.23</v>
      </c>
      <c r="L100" s="56">
        <f t="shared" si="4"/>
        <v>230415.24333333332</v>
      </c>
      <c r="M100" s="56">
        <f t="shared" si="4"/>
        <v>258594.01333333334</v>
      </c>
      <c r="N100" s="56">
        <f t="shared" si="4"/>
        <v>1655960.7533333332</v>
      </c>
      <c r="O100" s="55">
        <f t="shared" si="4"/>
        <v>10564824.183333335</v>
      </c>
    </row>
    <row r="101" spans="1:15" ht="15" hidden="1" customHeight="1" x14ac:dyDescent="0.2">
      <c r="A101" s="42" t="s">
        <v>31</v>
      </c>
      <c r="D101" s="1"/>
      <c r="E101" s="1"/>
      <c r="F101" s="1"/>
      <c r="G101" s="1"/>
      <c r="H101" s="1"/>
      <c r="I101" s="1"/>
      <c r="J101" s="1" t="s">
        <v>20</v>
      </c>
      <c r="K101" s="1"/>
      <c r="L101" s="1"/>
      <c r="M101" s="1"/>
      <c r="N101" s="1"/>
      <c r="O101" s="1"/>
    </row>
    <row r="102" spans="1:15" ht="12.75" hidden="1" x14ac:dyDescent="0.2"/>
    <row r="103" spans="1:15" ht="12.75" x14ac:dyDescent="0.2">
      <c r="A103" s="74"/>
    </row>
    <row r="104" spans="1:15" ht="15.75" x14ac:dyDescent="0.25">
      <c r="A104" s="36" t="s">
        <v>67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8"/>
    </row>
    <row r="105" spans="1:15" ht="12.75" x14ac:dyDescent="0.2">
      <c r="A105" s="58" t="s">
        <v>17</v>
      </c>
      <c r="B105" s="59"/>
      <c r="C105" s="60" t="s">
        <v>7</v>
      </c>
      <c r="D105" s="61" t="s">
        <v>8</v>
      </c>
      <c r="E105" s="60" t="s">
        <v>9</v>
      </c>
      <c r="F105" s="60" t="s">
        <v>10</v>
      </c>
      <c r="G105" s="60" t="s">
        <v>11</v>
      </c>
      <c r="H105" s="61" t="s">
        <v>12</v>
      </c>
      <c r="I105" s="61" t="s">
        <v>1</v>
      </c>
      <c r="J105" s="61" t="s">
        <v>2</v>
      </c>
      <c r="K105" s="61" t="s">
        <v>3</v>
      </c>
      <c r="L105" s="61" t="s">
        <v>4</v>
      </c>
      <c r="M105" s="60" t="s">
        <v>5</v>
      </c>
      <c r="N105" s="60" t="s">
        <v>6</v>
      </c>
      <c r="O105" s="24" t="s">
        <v>16</v>
      </c>
    </row>
    <row r="106" spans="1:15" s="57" customFormat="1" ht="12.75" x14ac:dyDescent="0.2">
      <c r="A106" s="91" t="s">
        <v>65</v>
      </c>
      <c r="B106" s="54"/>
      <c r="C106" s="92"/>
      <c r="D106" s="92"/>
      <c r="E106" s="89">
        <v>1277.8399999999999</v>
      </c>
      <c r="F106" s="90">
        <f>99+144.38</f>
        <v>243.38</v>
      </c>
      <c r="G106" s="90">
        <v>110</v>
      </c>
      <c r="H106" s="90">
        <v>0</v>
      </c>
      <c r="I106" s="90">
        <v>10.050000000000001</v>
      </c>
      <c r="J106" s="90">
        <v>0</v>
      </c>
      <c r="K106" s="90">
        <v>0</v>
      </c>
      <c r="L106" s="90">
        <v>0</v>
      </c>
      <c r="M106" s="90">
        <v>0</v>
      </c>
      <c r="N106" s="90">
        <v>0</v>
      </c>
      <c r="O106" s="92">
        <f>SUM(C106:N106)</f>
        <v>1641.2699999999998</v>
      </c>
    </row>
    <row r="107" spans="1:15" ht="12.75" x14ac:dyDescent="0.2">
      <c r="A107" s="91" t="s">
        <v>64</v>
      </c>
      <c r="B107" s="48"/>
      <c r="C107" s="89"/>
      <c r="D107" s="89"/>
      <c r="E107" s="89">
        <v>30521.74</v>
      </c>
      <c r="F107" s="90">
        <v>20169.740000000002</v>
      </c>
      <c r="G107" s="90">
        <v>23318.15</v>
      </c>
      <c r="H107" s="90">
        <v>119794.56</v>
      </c>
      <c r="I107" s="90">
        <v>96814.85</v>
      </c>
      <c r="J107" s="90">
        <v>88813.2</v>
      </c>
      <c r="K107" s="90">
        <v>91487.09</v>
      </c>
      <c r="L107" s="90">
        <v>50175.15</v>
      </c>
      <c r="M107" s="90">
        <v>28118.47</v>
      </c>
      <c r="N107" s="90">
        <v>50906.94</v>
      </c>
      <c r="O107" s="92">
        <f t="shared" ref="O107:O111" si="5">SUM(C107:N107)</f>
        <v>600119.89000000013</v>
      </c>
    </row>
    <row r="108" spans="1:15" ht="12.75" x14ac:dyDescent="0.2">
      <c r="A108" s="91" t="s">
        <v>63</v>
      </c>
      <c r="B108" s="48"/>
      <c r="C108" s="89"/>
      <c r="D108" s="89"/>
      <c r="E108" s="89">
        <v>45528</v>
      </c>
      <c r="F108" s="90">
        <v>31306.78</v>
      </c>
      <c r="G108" s="90">
        <v>42289.9</v>
      </c>
      <c r="H108" s="90">
        <v>93319.44</v>
      </c>
      <c r="I108" s="90">
        <v>77562.86</v>
      </c>
      <c r="J108" s="90">
        <v>88099.19</v>
      </c>
      <c r="K108" s="90">
        <v>101229.06</v>
      </c>
      <c r="L108" s="90">
        <v>62781.08</v>
      </c>
      <c r="M108" s="90">
        <v>38586.18</v>
      </c>
      <c r="N108" s="90">
        <v>53336.67</v>
      </c>
      <c r="O108" s="92">
        <f t="shared" si="5"/>
        <v>634039.16</v>
      </c>
    </row>
    <row r="109" spans="1:15" ht="12.75" x14ac:dyDescent="0.2">
      <c r="A109" s="91" t="s">
        <v>62</v>
      </c>
      <c r="B109" s="48"/>
      <c r="C109" s="89"/>
      <c r="D109" s="89"/>
      <c r="E109" s="89">
        <v>59495.92</v>
      </c>
      <c r="F109" s="90">
        <v>45041.1</v>
      </c>
      <c r="G109" s="90">
        <v>66738.11</v>
      </c>
      <c r="H109" s="90">
        <v>119555.32</v>
      </c>
      <c r="I109" s="90">
        <v>97644.96</v>
      </c>
      <c r="J109" s="90">
        <v>100390.15</v>
      </c>
      <c r="K109" s="90">
        <v>96188.01</v>
      </c>
      <c r="L109" s="90">
        <v>74579.92</v>
      </c>
      <c r="M109" s="90">
        <v>46397.34</v>
      </c>
      <c r="N109" s="90">
        <v>61663.85</v>
      </c>
      <c r="O109" s="92">
        <f t="shared" si="5"/>
        <v>767694.68</v>
      </c>
    </row>
    <row r="110" spans="1:15" ht="12.75" x14ac:dyDescent="0.2">
      <c r="A110" s="91" t="s">
        <v>61</v>
      </c>
      <c r="B110" s="48"/>
      <c r="C110" s="89"/>
      <c r="D110" s="89"/>
      <c r="E110" s="89">
        <v>7665.16</v>
      </c>
      <c r="F110" s="90">
        <v>16380.26</v>
      </c>
      <c r="G110" s="90">
        <v>56989.38</v>
      </c>
      <c r="H110" s="90">
        <v>183618.4</v>
      </c>
      <c r="I110" s="90">
        <v>121933.52</v>
      </c>
      <c r="J110" s="90">
        <v>156705.99</v>
      </c>
      <c r="K110" s="90">
        <v>383886.29</v>
      </c>
      <c r="L110" s="90">
        <v>203475.77</v>
      </c>
      <c r="M110" s="90">
        <v>9805.7099999999991</v>
      </c>
      <c r="N110" s="90">
        <v>5481.53</v>
      </c>
      <c r="O110" s="92">
        <f t="shared" si="5"/>
        <v>1145942.01</v>
      </c>
    </row>
    <row r="111" spans="1:15" s="57" customFormat="1" ht="12.75" x14ac:dyDescent="0.2">
      <c r="A111" s="53" t="s">
        <v>66</v>
      </c>
      <c r="B111" s="54"/>
      <c r="C111" s="88">
        <f t="shared" ref="C111:N111" si="6">SUM(C106:C110)</f>
        <v>0</v>
      </c>
      <c r="D111" s="88">
        <f t="shared" si="6"/>
        <v>0</v>
      </c>
      <c r="E111" s="88">
        <f t="shared" si="6"/>
        <v>144488.66</v>
      </c>
      <c r="F111" s="88">
        <f t="shared" si="6"/>
        <v>113141.26</v>
      </c>
      <c r="G111" s="88">
        <f t="shared" si="6"/>
        <v>189445.54</v>
      </c>
      <c r="H111" s="88">
        <f t="shared" si="6"/>
        <v>516287.72</v>
      </c>
      <c r="I111" s="88">
        <f t="shared" si="6"/>
        <v>393966.24000000005</v>
      </c>
      <c r="J111" s="88">
        <f t="shared" si="6"/>
        <v>434008.53</v>
      </c>
      <c r="K111" s="88">
        <f t="shared" si="6"/>
        <v>672790.45</v>
      </c>
      <c r="L111" s="88">
        <f t="shared" si="6"/>
        <v>391011.92000000004</v>
      </c>
      <c r="M111" s="88">
        <f t="shared" si="6"/>
        <v>122907.69999999998</v>
      </c>
      <c r="N111" s="88">
        <f t="shared" si="6"/>
        <v>171388.99</v>
      </c>
      <c r="O111" s="88">
        <f t="shared" si="5"/>
        <v>3149437.01</v>
      </c>
    </row>
    <row r="112" spans="1:15" s="57" customFormat="1" ht="12.75" x14ac:dyDescent="0.2">
      <c r="A112" s="53"/>
      <c r="B112" s="54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</row>
    <row r="113" spans="1:15" s="57" customFormat="1" ht="12.75" x14ac:dyDescent="0.2">
      <c r="A113" s="53" t="s">
        <v>80</v>
      </c>
      <c r="B113" s="54"/>
      <c r="C113" s="87">
        <f>C111/O111</f>
        <v>0</v>
      </c>
      <c r="D113" s="87">
        <f>SUM(C111:D111)/O111</f>
        <v>0</v>
      </c>
      <c r="E113" s="87">
        <f t="shared" ref="E113:O113" si="7">E111/$O$111</f>
        <v>4.5877615440862558E-2</v>
      </c>
      <c r="F113" s="87">
        <f t="shared" si="7"/>
        <v>3.592428095585249E-2</v>
      </c>
      <c r="G113" s="87">
        <f t="shared" si="7"/>
        <v>6.0152192089722098E-2</v>
      </c>
      <c r="H113" s="87">
        <f t="shared" si="7"/>
        <v>0.16393016223556731</v>
      </c>
      <c r="I113" s="87">
        <f t="shared" si="7"/>
        <v>0.1250910047570693</v>
      </c>
      <c r="J113" s="87">
        <f t="shared" si="7"/>
        <v>0.13780511520692393</v>
      </c>
      <c r="K113" s="87">
        <f t="shared" si="7"/>
        <v>0.213622449937489</v>
      </c>
      <c r="L113" s="87">
        <f t="shared" si="7"/>
        <v>0.12415295773767518</v>
      </c>
      <c r="M113" s="87">
        <f t="shared" si="7"/>
        <v>3.9025292333120833E-2</v>
      </c>
      <c r="N113" s="87">
        <f t="shared" si="7"/>
        <v>5.4418929305717408E-2</v>
      </c>
      <c r="O113" s="87">
        <f t="shared" si="7"/>
        <v>1</v>
      </c>
    </row>
    <row r="114" spans="1:15" s="57" customFormat="1" ht="12.75" x14ac:dyDescent="0.2">
      <c r="A114" s="53"/>
      <c r="B114" s="54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56"/>
    </row>
    <row r="115" spans="1:15" s="57" customFormat="1" ht="12.75" x14ac:dyDescent="0.2">
      <c r="A115" s="91" t="s">
        <v>65</v>
      </c>
      <c r="B115" s="54"/>
      <c r="C115" s="92">
        <v>0</v>
      </c>
      <c r="D115" s="92">
        <v>0</v>
      </c>
      <c r="E115" s="90">
        <v>0</v>
      </c>
      <c r="F115" s="90">
        <v>0</v>
      </c>
      <c r="G115" s="90">
        <v>0</v>
      </c>
      <c r="H115" s="90"/>
      <c r="I115" s="90"/>
      <c r="J115" s="90"/>
      <c r="K115" s="90"/>
      <c r="L115" s="90"/>
      <c r="M115" s="90"/>
      <c r="N115" s="90"/>
      <c r="O115" s="92"/>
    </row>
    <row r="116" spans="1:15" ht="12.75" x14ac:dyDescent="0.2">
      <c r="A116" s="91" t="s">
        <v>64</v>
      </c>
      <c r="B116" s="48"/>
      <c r="C116" s="89">
        <v>89923.66</v>
      </c>
      <c r="D116" s="89">
        <v>96206.95</v>
      </c>
      <c r="E116" s="90">
        <v>46890.51</v>
      </c>
      <c r="F116" s="90">
        <v>28978.29</v>
      </c>
      <c r="G116" s="90">
        <v>25245.85</v>
      </c>
      <c r="H116" s="90">
        <v>140325.06</v>
      </c>
      <c r="I116" s="90">
        <v>125761.13</v>
      </c>
      <c r="J116" s="90">
        <v>111765.31</v>
      </c>
      <c r="K116" s="90">
        <v>78321.37</v>
      </c>
      <c r="L116" s="90">
        <v>35447.160000000003</v>
      </c>
      <c r="M116" s="90">
        <v>28607.75</v>
      </c>
      <c r="N116" s="90">
        <v>58413.23</v>
      </c>
      <c r="O116" s="88">
        <f>SUM(C116:N116)</f>
        <v>865886.27</v>
      </c>
    </row>
    <row r="117" spans="1:15" ht="12.75" x14ac:dyDescent="0.2">
      <c r="A117" s="91" t="s">
        <v>63</v>
      </c>
      <c r="B117" s="48"/>
      <c r="C117" s="89">
        <v>82336.929999999993</v>
      </c>
      <c r="D117" s="89">
        <v>88997.47</v>
      </c>
      <c r="E117" s="90">
        <v>49867.99</v>
      </c>
      <c r="F117" s="90">
        <v>36090.910000000003</v>
      </c>
      <c r="G117" s="90">
        <v>38767.599999999999</v>
      </c>
      <c r="H117" s="90">
        <v>106530.04</v>
      </c>
      <c r="I117" s="90">
        <v>103440.94</v>
      </c>
      <c r="J117" s="90">
        <v>95206.2</v>
      </c>
      <c r="K117" s="90">
        <v>85103.58</v>
      </c>
      <c r="L117" s="90">
        <v>46248.32</v>
      </c>
      <c r="M117" s="90">
        <v>36837.99</v>
      </c>
      <c r="N117" s="90">
        <v>57768.639999999999</v>
      </c>
      <c r="O117" s="88">
        <f>SUM(C117:N117)</f>
        <v>827196.60999999987</v>
      </c>
    </row>
    <row r="118" spans="1:15" ht="12.75" x14ac:dyDescent="0.2">
      <c r="A118" s="91" t="s">
        <v>62</v>
      </c>
      <c r="B118" s="48"/>
      <c r="C118" s="89">
        <v>100944.33</v>
      </c>
      <c r="D118" s="89">
        <v>97773.08</v>
      </c>
      <c r="E118" s="90">
        <v>54771.01</v>
      </c>
      <c r="F118" s="90">
        <v>41081.980000000003</v>
      </c>
      <c r="G118" s="90">
        <v>58108.66</v>
      </c>
      <c r="H118" s="90">
        <v>145645.76000000001</v>
      </c>
      <c r="I118" s="90">
        <v>107374.01</v>
      </c>
      <c r="J118" s="90">
        <v>99764.29</v>
      </c>
      <c r="K118" s="90">
        <v>84189.88</v>
      </c>
      <c r="L118" s="90">
        <v>51180.31</v>
      </c>
      <c r="M118" s="90">
        <v>41644</v>
      </c>
      <c r="N118" s="90">
        <v>64588.08</v>
      </c>
      <c r="O118" s="88">
        <f>SUM(C118:N118)</f>
        <v>947065.39</v>
      </c>
    </row>
    <row r="119" spans="1:15" ht="12.75" x14ac:dyDescent="0.2">
      <c r="A119" s="91" t="s">
        <v>61</v>
      </c>
      <c r="B119" s="48"/>
      <c r="C119" s="89">
        <v>11612.48</v>
      </c>
      <c r="D119" s="89">
        <v>13017.12</v>
      </c>
      <c r="E119" s="90">
        <v>20922.38</v>
      </c>
      <c r="F119" s="90">
        <v>45471.93</v>
      </c>
      <c r="G119" s="90">
        <v>36790.339999999997</v>
      </c>
      <c r="H119" s="90">
        <v>220752.09</v>
      </c>
      <c r="I119" s="90">
        <v>184527.88</v>
      </c>
      <c r="J119" s="90">
        <v>168692.86</v>
      </c>
      <c r="K119" s="90">
        <v>202217.56</v>
      </c>
      <c r="L119" s="90">
        <v>243166.72</v>
      </c>
      <c r="M119" s="90">
        <v>13140.66</v>
      </c>
      <c r="N119" s="90">
        <v>8387.7099999999991</v>
      </c>
      <c r="O119" s="88">
        <f>SUM(C119:N119)</f>
        <v>1168699.7299999997</v>
      </c>
    </row>
    <row r="120" spans="1:15" s="57" customFormat="1" ht="12.75" x14ac:dyDescent="0.2">
      <c r="A120" s="53" t="s">
        <v>60</v>
      </c>
      <c r="B120" s="54"/>
      <c r="C120" s="88">
        <f t="shared" ref="C120:N120" si="8">SUM(C115:C119)</f>
        <v>284817.39999999997</v>
      </c>
      <c r="D120" s="88">
        <f t="shared" si="8"/>
        <v>295994.62</v>
      </c>
      <c r="E120" s="88">
        <f t="shared" si="8"/>
        <v>172451.89</v>
      </c>
      <c r="F120" s="88">
        <f t="shared" si="8"/>
        <v>151623.11000000002</v>
      </c>
      <c r="G120" s="88">
        <f t="shared" si="8"/>
        <v>158912.45000000001</v>
      </c>
      <c r="H120" s="88">
        <f t="shared" si="8"/>
        <v>613252.94999999995</v>
      </c>
      <c r="I120" s="88">
        <f t="shared" si="8"/>
        <v>521103.96</v>
      </c>
      <c r="J120" s="88">
        <f t="shared" si="8"/>
        <v>475428.66</v>
      </c>
      <c r="K120" s="88">
        <f t="shared" si="8"/>
        <v>449832.39</v>
      </c>
      <c r="L120" s="88">
        <f t="shared" si="8"/>
        <v>376042.51</v>
      </c>
      <c r="M120" s="88">
        <f t="shared" si="8"/>
        <v>120230.39999999999</v>
      </c>
      <c r="N120" s="88">
        <f t="shared" si="8"/>
        <v>189157.66</v>
      </c>
      <c r="O120" s="88">
        <f>SUM(C120:N120)</f>
        <v>3808848.0000000005</v>
      </c>
    </row>
    <row r="121" spans="1:15" s="57" customFormat="1" ht="12.75" x14ac:dyDescent="0.2">
      <c r="A121" s="53" t="s">
        <v>80</v>
      </c>
      <c r="B121" s="54"/>
      <c r="C121" s="87">
        <f t="shared" ref="C121:O121" si="9">C120/$O120</f>
        <v>7.4777833087589715E-2</v>
      </c>
      <c r="D121" s="87">
        <f t="shared" si="9"/>
        <v>7.7712373925134304E-2</v>
      </c>
      <c r="E121" s="87">
        <f t="shared" si="9"/>
        <v>4.5276653203278262E-2</v>
      </c>
      <c r="F121" s="87">
        <f t="shared" si="9"/>
        <v>3.980812833696698E-2</v>
      </c>
      <c r="G121" s="87">
        <f t="shared" si="9"/>
        <v>4.172191959353589E-2</v>
      </c>
      <c r="H121" s="87">
        <f t="shared" si="9"/>
        <v>0.16100746209877628</v>
      </c>
      <c r="I121" s="87">
        <f t="shared" si="9"/>
        <v>0.13681406031429974</v>
      </c>
      <c r="J121" s="87">
        <f t="shared" si="9"/>
        <v>0.12482216670237298</v>
      </c>
      <c r="K121" s="87">
        <f t="shared" si="9"/>
        <v>0.11810195366157955</v>
      </c>
      <c r="L121" s="87">
        <f t="shared" si="9"/>
        <v>9.8728673341650794E-2</v>
      </c>
      <c r="M121" s="87">
        <f t="shared" si="9"/>
        <v>3.1566079822560517E-2</v>
      </c>
      <c r="N121" s="87">
        <f t="shared" si="9"/>
        <v>4.9662695912254827E-2</v>
      </c>
      <c r="O121" s="87">
        <f t="shared" si="9"/>
        <v>1</v>
      </c>
    </row>
    <row r="122" spans="1:15" s="57" customFormat="1" ht="12.75" x14ac:dyDescent="0.2">
      <c r="A122" s="63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"/>
    </row>
    <row r="123" spans="1:15" s="57" customFormat="1" ht="12.75" x14ac:dyDescent="0.2">
      <c r="A123" s="91" t="s">
        <v>65</v>
      </c>
      <c r="B123" s="54"/>
      <c r="C123" s="92"/>
      <c r="D123" s="92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2"/>
    </row>
    <row r="124" spans="1:15" s="57" customFormat="1" ht="12.75" x14ac:dyDescent="0.2">
      <c r="A124" s="91" t="s">
        <v>64</v>
      </c>
      <c r="B124" s="48"/>
      <c r="C124" s="90">
        <v>133179.25</v>
      </c>
      <c r="D124" s="90">
        <v>100136.98</v>
      </c>
      <c r="E124" s="90">
        <v>59558.96</v>
      </c>
      <c r="F124" s="90">
        <v>35853.99</v>
      </c>
      <c r="G124" s="90">
        <v>45331.67</v>
      </c>
      <c r="H124" s="90">
        <v>176267.89</v>
      </c>
      <c r="I124" s="90">
        <v>181616.3</v>
      </c>
      <c r="J124" s="90">
        <v>171604.73</v>
      </c>
      <c r="K124" s="90">
        <v>145208.98000000001</v>
      </c>
      <c r="L124" s="90">
        <v>63459.21</v>
      </c>
      <c r="M124" s="90">
        <v>39973.760000000002</v>
      </c>
      <c r="N124" s="90">
        <v>76619.41</v>
      </c>
      <c r="O124" s="88">
        <f>SUM(C124:N124)</f>
        <v>1228811.1299999999</v>
      </c>
    </row>
    <row r="125" spans="1:15" s="57" customFormat="1" ht="12.75" x14ac:dyDescent="0.2">
      <c r="A125" s="91" t="s">
        <v>63</v>
      </c>
      <c r="B125" s="48"/>
      <c r="C125" s="90">
        <v>106444.46</v>
      </c>
      <c r="D125" s="90">
        <v>85471.63</v>
      </c>
      <c r="E125" s="90">
        <v>59327.73</v>
      </c>
      <c r="F125" s="90">
        <v>41439.35</v>
      </c>
      <c r="G125" s="90">
        <v>57424.69</v>
      </c>
      <c r="H125" s="90">
        <v>129522.2</v>
      </c>
      <c r="I125" s="90">
        <v>144787.32</v>
      </c>
      <c r="J125" s="90">
        <v>137652.06</v>
      </c>
      <c r="K125" s="90">
        <v>130686.84</v>
      </c>
      <c r="L125" s="90">
        <v>73429.570000000007</v>
      </c>
      <c r="M125" s="90">
        <v>45171.62</v>
      </c>
      <c r="N125" s="90">
        <v>67736.27</v>
      </c>
      <c r="O125" s="88">
        <f>SUM(C125:N125)</f>
        <v>1079093.74</v>
      </c>
    </row>
    <row r="126" spans="1:15" s="57" customFormat="1" ht="12.75" x14ac:dyDescent="0.2">
      <c r="A126" s="91" t="s">
        <v>62</v>
      </c>
      <c r="B126" s="48"/>
      <c r="C126" s="90">
        <v>101753.03</v>
      </c>
      <c r="D126" s="90">
        <v>90243.44</v>
      </c>
      <c r="E126" s="90">
        <v>66040.75</v>
      </c>
      <c r="F126" s="90">
        <v>38933.370000000003</v>
      </c>
      <c r="G126" s="90">
        <v>73496.399999999994</v>
      </c>
      <c r="H126" s="90">
        <v>159896.93</v>
      </c>
      <c r="I126" s="90">
        <v>150391.42000000001</v>
      </c>
      <c r="J126" s="90">
        <v>140767.37</v>
      </c>
      <c r="K126" s="90">
        <v>124952.81</v>
      </c>
      <c r="L126" s="90">
        <v>70690.77</v>
      </c>
      <c r="M126" s="90">
        <v>49658.43</v>
      </c>
      <c r="N126" s="90">
        <v>61957.7</v>
      </c>
      <c r="O126" s="88">
        <f>SUM(C126:N126)</f>
        <v>1128782.42</v>
      </c>
    </row>
    <row r="127" spans="1:15" s="57" customFormat="1" ht="12.75" x14ac:dyDescent="0.2">
      <c r="A127" s="91" t="s">
        <v>61</v>
      </c>
      <c r="B127" s="48"/>
      <c r="C127" s="90">
        <v>23792.36</v>
      </c>
      <c r="D127" s="90">
        <v>15901.18</v>
      </c>
      <c r="E127" s="90">
        <v>18839.93</v>
      </c>
      <c r="F127" s="90">
        <v>17990.8</v>
      </c>
      <c r="G127" s="90">
        <v>179811.62</v>
      </c>
      <c r="H127" s="90">
        <v>279404.38</v>
      </c>
      <c r="I127" s="90">
        <v>263423.65999999997</v>
      </c>
      <c r="J127" s="90">
        <v>274223.65000000002</v>
      </c>
      <c r="K127" s="90">
        <v>473986.66</v>
      </c>
      <c r="L127" s="90">
        <v>149745.48000000001</v>
      </c>
      <c r="M127" s="90">
        <v>19001.16</v>
      </c>
      <c r="N127" s="90">
        <v>6018.74</v>
      </c>
      <c r="O127" s="88">
        <f>SUM(C127:N127)</f>
        <v>1722139.6199999999</v>
      </c>
    </row>
    <row r="128" spans="1:15" s="57" customFormat="1" ht="12.75" x14ac:dyDescent="0.2">
      <c r="A128" s="53" t="s">
        <v>68</v>
      </c>
      <c r="B128" s="54"/>
      <c r="C128" s="88">
        <f>SUM(C123:C127)</f>
        <v>365169.1</v>
      </c>
      <c r="D128" s="88">
        <f t="shared" ref="D128:N128" si="10">SUM(D123:D127)</f>
        <v>291753.23</v>
      </c>
      <c r="E128" s="88">
        <f t="shared" si="10"/>
        <v>203767.37</v>
      </c>
      <c r="F128" s="88">
        <f t="shared" si="10"/>
        <v>134217.50999999998</v>
      </c>
      <c r="G128" s="88">
        <f t="shared" si="10"/>
        <v>356064.38</v>
      </c>
      <c r="H128" s="88">
        <f t="shared" si="10"/>
        <v>745091.4</v>
      </c>
      <c r="I128" s="88">
        <f t="shared" si="10"/>
        <v>740218.7</v>
      </c>
      <c r="J128" s="88">
        <f t="shared" si="10"/>
        <v>724247.81</v>
      </c>
      <c r="K128" s="88">
        <f t="shared" si="10"/>
        <v>874835.29</v>
      </c>
      <c r="L128" s="88">
        <f t="shared" si="10"/>
        <v>357325.03</v>
      </c>
      <c r="M128" s="88">
        <f t="shared" si="10"/>
        <v>153804.97</v>
      </c>
      <c r="N128" s="88">
        <f t="shared" si="10"/>
        <v>212332.12</v>
      </c>
      <c r="O128" s="88">
        <f>SUM(C128:N128)</f>
        <v>5158826.9099999992</v>
      </c>
    </row>
    <row r="129" spans="1:15" s="57" customFormat="1" ht="12.75" x14ac:dyDescent="0.2">
      <c r="A129" s="53" t="s">
        <v>80</v>
      </c>
      <c r="B129" s="54"/>
      <c r="C129" s="87">
        <f t="shared" ref="C129:O129" si="11">C128/$O128</f>
        <v>7.0785297969999161E-2</v>
      </c>
      <c r="D129" s="87">
        <f t="shared" si="11"/>
        <v>5.6554180841861201E-2</v>
      </c>
      <c r="E129" s="87">
        <f t="shared" si="11"/>
        <v>3.9498780159693325E-2</v>
      </c>
      <c r="F129" s="87">
        <f t="shared" si="11"/>
        <v>2.6017060145947016E-2</v>
      </c>
      <c r="G129" s="87">
        <f t="shared" si="11"/>
        <v>6.9020416116267802E-2</v>
      </c>
      <c r="H129" s="87">
        <f t="shared" si="11"/>
        <v>0.14443039338181635</v>
      </c>
      <c r="I129" s="87">
        <f t="shared" si="11"/>
        <v>0.14348585694262034</v>
      </c>
      <c r="J129" s="87">
        <f t="shared" si="11"/>
        <v>0.14039001940462473</v>
      </c>
      <c r="K129" s="87">
        <f t="shared" si="11"/>
        <v>0.1695802757607931</v>
      </c>
      <c r="L129" s="87">
        <f t="shared" si="11"/>
        <v>6.9264783687034009E-2</v>
      </c>
      <c r="M129" s="87">
        <f t="shared" si="11"/>
        <v>2.9813942720555441E-2</v>
      </c>
      <c r="N129" s="87">
        <f t="shared" si="11"/>
        <v>4.1158992868787686E-2</v>
      </c>
      <c r="O129" s="87">
        <f t="shared" si="11"/>
        <v>1</v>
      </c>
    </row>
    <row r="130" spans="1:15" s="57" customFormat="1" ht="12.75" x14ac:dyDescent="0.2">
      <c r="A130" s="53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"/>
    </row>
    <row r="131" spans="1:15" s="57" customFormat="1" ht="12.75" x14ac:dyDescent="0.2">
      <c r="A131" s="91" t="s">
        <v>65</v>
      </c>
      <c r="B131" s="54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3"/>
    </row>
    <row r="132" spans="1:15" s="57" customFormat="1" ht="12.75" x14ac:dyDescent="0.2">
      <c r="A132" s="91" t="s">
        <v>64</v>
      </c>
      <c r="B132" s="54"/>
      <c r="C132" s="117">
        <v>131428.72</v>
      </c>
      <c r="D132" s="117">
        <v>117325.21</v>
      </c>
      <c r="E132" s="117">
        <v>76799.789999999994</v>
      </c>
      <c r="F132" s="117">
        <v>43521.71</v>
      </c>
      <c r="G132" s="117">
        <v>41237.449999999997</v>
      </c>
      <c r="H132" s="117">
        <v>182718.87</v>
      </c>
      <c r="I132" s="117">
        <v>204551.35</v>
      </c>
      <c r="J132" s="117">
        <v>190849.62</v>
      </c>
      <c r="K132" s="117">
        <v>156409.57999999999</v>
      </c>
      <c r="L132" s="117">
        <v>123432.91</v>
      </c>
      <c r="M132" s="117">
        <v>51754.44</v>
      </c>
      <c r="N132" s="117">
        <v>70589.210000000006</v>
      </c>
      <c r="O132" s="103">
        <f>SUM(C132:N132)</f>
        <v>1390618.8599999999</v>
      </c>
    </row>
    <row r="133" spans="1:15" s="57" customFormat="1" ht="12.75" x14ac:dyDescent="0.2">
      <c r="A133" s="91" t="s">
        <v>63</v>
      </c>
      <c r="B133" s="54"/>
      <c r="C133" s="117">
        <v>97446.31</v>
      </c>
      <c r="D133" s="117">
        <v>96033.9</v>
      </c>
      <c r="E133" s="117">
        <v>69629.41</v>
      </c>
      <c r="F133" s="117">
        <v>44232.03</v>
      </c>
      <c r="G133" s="117">
        <v>49668.43</v>
      </c>
      <c r="H133" s="117">
        <v>128188.6</v>
      </c>
      <c r="I133" s="117">
        <v>144692.51999999999</v>
      </c>
      <c r="J133" s="117">
        <v>136966.60999999999</v>
      </c>
      <c r="K133" s="117">
        <v>137905.54999999999</v>
      </c>
      <c r="L133" s="117">
        <v>112094.16</v>
      </c>
      <c r="M133" s="117">
        <v>59630.38</v>
      </c>
      <c r="N133" s="117">
        <v>65826.38</v>
      </c>
      <c r="O133" s="103">
        <f>SUM(C133:N133)</f>
        <v>1142314.2800000003</v>
      </c>
    </row>
    <row r="134" spans="1:15" s="57" customFormat="1" ht="12.75" x14ac:dyDescent="0.2">
      <c r="A134" s="91" t="s">
        <v>62</v>
      </c>
      <c r="B134" s="54"/>
      <c r="C134" s="117">
        <v>102048.33</v>
      </c>
      <c r="D134" s="117">
        <v>90254.65</v>
      </c>
      <c r="E134" s="117">
        <v>71305.05</v>
      </c>
      <c r="F134" s="117">
        <v>40289.29</v>
      </c>
      <c r="G134" s="117">
        <v>67798.83</v>
      </c>
      <c r="H134" s="117">
        <v>162808.16</v>
      </c>
      <c r="I134" s="117">
        <v>151168.97</v>
      </c>
      <c r="J134" s="117">
        <v>148985.13</v>
      </c>
      <c r="K134" s="117">
        <v>135179.91</v>
      </c>
      <c r="L134" s="117">
        <v>112814.85</v>
      </c>
      <c r="M134" s="117">
        <v>61894.45</v>
      </c>
      <c r="N134" s="117">
        <v>67272.929999999993</v>
      </c>
      <c r="O134" s="103">
        <f>SUM(C134:N134)</f>
        <v>1211820.5499999998</v>
      </c>
    </row>
    <row r="135" spans="1:15" s="57" customFormat="1" ht="12.75" x14ac:dyDescent="0.2">
      <c r="A135" s="91" t="s">
        <v>61</v>
      </c>
      <c r="B135" s="54"/>
      <c r="C135" s="117">
        <v>17729.52</v>
      </c>
      <c r="D135" s="117">
        <v>15629.86</v>
      </c>
      <c r="E135" s="117">
        <v>15116.02</v>
      </c>
      <c r="F135" s="117">
        <v>31778.560000000001</v>
      </c>
      <c r="G135" s="117">
        <v>100186.68</v>
      </c>
      <c r="H135" s="117">
        <v>322203.8</v>
      </c>
      <c r="I135" s="117">
        <v>303055.26</v>
      </c>
      <c r="J135" s="117">
        <v>293892.46000000002</v>
      </c>
      <c r="K135" s="117">
        <v>430660.62</v>
      </c>
      <c r="L135" s="117">
        <v>367673.58</v>
      </c>
      <c r="M135" s="117">
        <v>43638.04</v>
      </c>
      <c r="N135" s="117">
        <v>27640.36</v>
      </c>
      <c r="O135" s="103">
        <f>SUM(C135:N135)</f>
        <v>1969204.76</v>
      </c>
    </row>
    <row r="136" spans="1:15" s="57" customFormat="1" ht="12.75" x14ac:dyDescent="0.2">
      <c r="A136" s="53" t="s">
        <v>73</v>
      </c>
      <c r="B136" s="54"/>
      <c r="C136" s="102">
        <f>SUM(C131:C135)</f>
        <v>348652.88</v>
      </c>
      <c r="D136" s="102">
        <f t="shared" ref="D136:N136" si="12">SUM(D131:D135)</f>
        <v>319243.62</v>
      </c>
      <c r="E136" s="102">
        <f t="shared" si="12"/>
        <v>232850.27</v>
      </c>
      <c r="F136" s="102">
        <f t="shared" si="12"/>
        <v>159821.59</v>
      </c>
      <c r="G136" s="102">
        <f t="shared" si="12"/>
        <v>258891.39</v>
      </c>
      <c r="H136" s="102">
        <f t="shared" si="12"/>
        <v>795919.42999999993</v>
      </c>
      <c r="I136" s="102">
        <f t="shared" si="12"/>
        <v>803468.1</v>
      </c>
      <c r="J136" s="102">
        <f t="shared" si="12"/>
        <v>770693.82000000007</v>
      </c>
      <c r="K136" s="102">
        <f t="shared" si="12"/>
        <v>860155.66</v>
      </c>
      <c r="L136" s="102">
        <f t="shared" si="12"/>
        <v>716015.5</v>
      </c>
      <c r="M136" s="102">
        <f t="shared" si="12"/>
        <v>216917.31000000003</v>
      </c>
      <c r="N136" s="102">
        <f t="shared" si="12"/>
        <v>231328.88</v>
      </c>
      <c r="O136" s="103">
        <f>SUM(C136:N136)</f>
        <v>5713958.4499999993</v>
      </c>
    </row>
    <row r="137" spans="1:15" s="57" customFormat="1" ht="12.75" x14ac:dyDescent="0.2">
      <c r="A137" s="53" t="s">
        <v>80</v>
      </c>
      <c r="B137" s="54"/>
      <c r="C137" s="87">
        <f t="shared" ref="C137:O137" si="13">C136/$O136</f>
        <v>6.1017748562732385E-2</v>
      </c>
      <c r="D137" s="87">
        <f t="shared" si="13"/>
        <v>5.587083329246121E-2</v>
      </c>
      <c r="E137" s="87">
        <f t="shared" si="13"/>
        <v>4.0751131118218056E-2</v>
      </c>
      <c r="F137" s="87">
        <f t="shared" si="13"/>
        <v>2.7970380148634091E-2</v>
      </c>
      <c r="G137" s="87">
        <f t="shared" si="13"/>
        <v>4.5308588129477918E-2</v>
      </c>
      <c r="H137" s="87">
        <f t="shared" si="13"/>
        <v>0.13929387778449806</v>
      </c>
      <c r="I137" s="87">
        <f t="shared" si="13"/>
        <v>0.14061497069514045</v>
      </c>
      <c r="J137" s="87">
        <f t="shared" si="13"/>
        <v>0.13487914319712985</v>
      </c>
      <c r="K137" s="87">
        <f t="shared" si="13"/>
        <v>0.15053586187697954</v>
      </c>
      <c r="L137" s="87">
        <f t="shared" si="13"/>
        <v>0.12530988915398922</v>
      </c>
      <c r="M137" s="87">
        <f t="shared" si="13"/>
        <v>3.7962703421478339E-2</v>
      </c>
      <c r="N137" s="87">
        <f t="shared" si="13"/>
        <v>4.0484872619261002E-2</v>
      </c>
      <c r="O137" s="87">
        <f t="shared" si="13"/>
        <v>1</v>
      </c>
    </row>
    <row r="138" spans="1:15" s="57" customFormat="1" ht="12.75" x14ac:dyDescent="0.2">
      <c r="A138" s="53"/>
      <c r="B138" s="104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"/>
    </row>
    <row r="139" spans="1:15" s="57" customFormat="1" ht="12.75" x14ac:dyDescent="0.2">
      <c r="A139" s="91" t="s">
        <v>65</v>
      </c>
      <c r="B139" s="54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56"/>
    </row>
    <row r="140" spans="1:15" s="57" customFormat="1" ht="12.75" x14ac:dyDescent="0.2">
      <c r="A140" s="91" t="s">
        <v>64</v>
      </c>
      <c r="B140" s="54"/>
      <c r="C140" s="117">
        <v>133364.39000000001</v>
      </c>
      <c r="D140" s="117">
        <v>118616.89</v>
      </c>
      <c r="E140" s="117">
        <v>79418.31</v>
      </c>
      <c r="F140" s="117">
        <v>46701.24</v>
      </c>
      <c r="G140" s="117">
        <v>46192.36</v>
      </c>
      <c r="H140" s="117">
        <v>181532.47</v>
      </c>
      <c r="I140" s="117">
        <v>193417.97</v>
      </c>
      <c r="J140" s="117">
        <v>166764.66</v>
      </c>
      <c r="K140" s="117">
        <v>180835.73</v>
      </c>
      <c r="L140" s="117">
        <v>95556.95</v>
      </c>
      <c r="M140" s="117">
        <v>46677.14</v>
      </c>
      <c r="N140" s="118">
        <v>77732.22</v>
      </c>
      <c r="O140" s="56">
        <f>SUM(C140:N140)</f>
        <v>1366810.3299999998</v>
      </c>
    </row>
    <row r="141" spans="1:15" s="57" customFormat="1" ht="12.75" x14ac:dyDescent="0.2">
      <c r="A141" s="91" t="s">
        <v>63</v>
      </c>
      <c r="B141" s="54"/>
      <c r="C141" s="117">
        <v>107149.75999999999</v>
      </c>
      <c r="D141" s="117">
        <v>92838.03</v>
      </c>
      <c r="E141" s="117">
        <v>69678.720000000001</v>
      </c>
      <c r="F141" s="117">
        <v>46706</v>
      </c>
      <c r="G141" s="117">
        <v>54195.25</v>
      </c>
      <c r="H141" s="117">
        <v>124553.61</v>
      </c>
      <c r="I141" s="117">
        <v>134664.93</v>
      </c>
      <c r="J141" s="117">
        <v>121324.8</v>
      </c>
      <c r="K141" s="117">
        <v>148217.70000000001</v>
      </c>
      <c r="L141" s="117">
        <v>89013.29</v>
      </c>
      <c r="M141" s="117">
        <v>38874.050000000003</v>
      </c>
      <c r="N141" s="118">
        <v>77227.14</v>
      </c>
      <c r="O141" s="56">
        <f>SUM(C141:N141)</f>
        <v>1104443.28</v>
      </c>
    </row>
    <row r="142" spans="1:15" s="57" customFormat="1" ht="12.75" x14ac:dyDescent="0.2">
      <c r="A142" s="91" t="s">
        <v>62</v>
      </c>
      <c r="B142" s="54"/>
      <c r="C142" s="117">
        <v>101813.03</v>
      </c>
      <c r="D142" s="117">
        <v>94460.49</v>
      </c>
      <c r="E142" s="117">
        <v>65774.62</v>
      </c>
      <c r="F142" s="117">
        <v>42979.26</v>
      </c>
      <c r="G142" s="117">
        <v>70166.710000000006</v>
      </c>
      <c r="H142" s="117">
        <v>161141.07999999999</v>
      </c>
      <c r="I142" s="117">
        <v>152263.06</v>
      </c>
      <c r="J142" s="117">
        <v>137427.37</v>
      </c>
      <c r="K142" s="117">
        <v>155345.4</v>
      </c>
      <c r="L142" s="117">
        <v>92469.79</v>
      </c>
      <c r="M142" s="117">
        <v>56755.75</v>
      </c>
      <c r="N142" s="118">
        <v>91202.5</v>
      </c>
      <c r="O142" s="56">
        <f>SUM(C142:N142)</f>
        <v>1221799.06</v>
      </c>
    </row>
    <row r="143" spans="1:15" s="57" customFormat="1" ht="12.75" x14ac:dyDescent="0.2">
      <c r="A143" s="91" t="s">
        <v>61</v>
      </c>
      <c r="B143" s="54"/>
      <c r="C143" s="117">
        <v>23792.36</v>
      </c>
      <c r="D143" s="117">
        <v>16820.62</v>
      </c>
      <c r="E143" s="117">
        <v>26403.64</v>
      </c>
      <c r="F143" s="117">
        <v>42102.18</v>
      </c>
      <c r="G143" s="117">
        <v>133593.60000000001</v>
      </c>
      <c r="H143" s="117">
        <v>256654.46</v>
      </c>
      <c r="I143" s="117">
        <v>259970.4</v>
      </c>
      <c r="J143" s="117">
        <v>241223.61</v>
      </c>
      <c r="K143" s="117">
        <v>277546.55</v>
      </c>
      <c r="L143" s="117">
        <v>125870.14</v>
      </c>
      <c r="M143" s="117">
        <v>27126.32</v>
      </c>
      <c r="N143" s="118">
        <v>10079.81</v>
      </c>
      <c r="O143" s="56">
        <f>SUM(C143:N143)</f>
        <v>1441183.69</v>
      </c>
    </row>
    <row r="144" spans="1:15" s="57" customFormat="1" ht="12.75" x14ac:dyDescent="0.2">
      <c r="A144" s="53" t="s">
        <v>75</v>
      </c>
      <c r="B144" s="54"/>
      <c r="C144" s="102">
        <f>SUM(C139:C143)</f>
        <v>366119.54000000004</v>
      </c>
      <c r="D144" s="102">
        <f t="shared" ref="D144:N144" si="14">SUM(D139:D143)</f>
        <v>322736.02999999997</v>
      </c>
      <c r="E144" s="102">
        <f t="shared" si="14"/>
        <v>241275.28999999998</v>
      </c>
      <c r="F144" s="102">
        <f t="shared" si="14"/>
        <v>178488.68</v>
      </c>
      <c r="G144" s="102">
        <f t="shared" si="14"/>
        <v>304147.92000000004</v>
      </c>
      <c r="H144" s="102">
        <f t="shared" si="14"/>
        <v>723881.62</v>
      </c>
      <c r="I144" s="102">
        <f t="shared" si="14"/>
        <v>740316.36</v>
      </c>
      <c r="J144" s="102">
        <f t="shared" si="14"/>
        <v>666740.43999999994</v>
      </c>
      <c r="K144" s="102">
        <f t="shared" si="14"/>
        <v>761945.38000000012</v>
      </c>
      <c r="L144" s="102">
        <f t="shared" si="14"/>
        <v>402910.17</v>
      </c>
      <c r="M144" s="102">
        <f t="shared" si="14"/>
        <v>169433.26</v>
      </c>
      <c r="N144" s="102">
        <f t="shared" si="14"/>
        <v>256241.66999999998</v>
      </c>
      <c r="O144" s="56">
        <f>SUM(C144:N144)</f>
        <v>5134236.3599999994</v>
      </c>
    </row>
    <row r="145" spans="1:15" s="57" customFormat="1" ht="12.75" x14ac:dyDescent="0.2">
      <c r="A145" s="53" t="s">
        <v>80</v>
      </c>
      <c r="B145" s="54"/>
      <c r="C145" s="87">
        <f t="shared" ref="C145:O145" si="15">C144/$O144</f>
        <v>7.1309443961789107E-2</v>
      </c>
      <c r="D145" s="87">
        <f t="shared" si="15"/>
        <v>6.2859597293646999E-2</v>
      </c>
      <c r="E145" s="87">
        <f t="shared" si="15"/>
        <v>4.6993413057438593E-2</v>
      </c>
      <c r="F145" s="87">
        <f t="shared" si="15"/>
        <v>3.4764406522180449E-2</v>
      </c>
      <c r="G145" s="87">
        <f t="shared" si="15"/>
        <v>5.9239173788251553E-2</v>
      </c>
      <c r="H145" s="87">
        <f t="shared" si="15"/>
        <v>0.14099109765176454</v>
      </c>
      <c r="I145" s="87">
        <f t="shared" si="15"/>
        <v>0.14419210727571569</v>
      </c>
      <c r="J145" s="87">
        <f t="shared" si="15"/>
        <v>0.12986165677810751</v>
      </c>
      <c r="K145" s="87">
        <f t="shared" si="15"/>
        <v>0.1484048116553793</v>
      </c>
      <c r="L145" s="87">
        <f t="shared" si="15"/>
        <v>7.8475189248981128E-2</v>
      </c>
      <c r="M145" s="87">
        <f t="shared" si="15"/>
        <v>3.3000673930796601E-2</v>
      </c>
      <c r="N145" s="87">
        <f t="shared" si="15"/>
        <v>4.9908428835948648E-2</v>
      </c>
      <c r="O145" s="87">
        <f t="shared" si="15"/>
        <v>1</v>
      </c>
    </row>
    <row r="146" spans="1:15" s="57" customFormat="1" ht="12.75" x14ac:dyDescent="0.2">
      <c r="A146" s="53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</row>
    <row r="147" spans="1:15" s="57" customFormat="1" ht="12.75" x14ac:dyDescent="0.2">
      <c r="A147" s="91" t="s">
        <v>65</v>
      </c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</row>
    <row r="148" spans="1:15" s="57" customFormat="1" ht="12.75" x14ac:dyDescent="0.2">
      <c r="A148" s="91" t="s">
        <v>64</v>
      </c>
      <c r="C148" s="117">
        <v>133627.39000000001</v>
      </c>
      <c r="D148" s="117">
        <v>114077.93</v>
      </c>
      <c r="E148" s="117">
        <v>75612.03</v>
      </c>
      <c r="F148" s="117">
        <v>48499.1</v>
      </c>
      <c r="G148" s="117">
        <v>45424.54</v>
      </c>
      <c r="H148" s="117">
        <v>204756.08</v>
      </c>
      <c r="I148" s="117">
        <v>235112.91</v>
      </c>
      <c r="J148" s="117">
        <v>209564.92</v>
      </c>
      <c r="K148" s="117">
        <v>200395.75</v>
      </c>
      <c r="L148" s="117">
        <v>135139.75</v>
      </c>
      <c r="M148" s="117">
        <v>59445.65</v>
      </c>
      <c r="N148" s="117">
        <v>83571.710000000006</v>
      </c>
      <c r="O148" s="102">
        <f>SUM(C148:N148)</f>
        <v>1545227.7599999998</v>
      </c>
    </row>
    <row r="149" spans="1:15" s="57" customFormat="1" ht="12.75" x14ac:dyDescent="0.2">
      <c r="A149" s="91" t="s">
        <v>63</v>
      </c>
      <c r="C149" s="117">
        <v>100327.83</v>
      </c>
      <c r="D149" s="117">
        <v>88519.73</v>
      </c>
      <c r="E149" s="117">
        <v>68124.160000000003</v>
      </c>
      <c r="F149" s="117">
        <v>47189.39</v>
      </c>
      <c r="G149" s="117">
        <v>52587.09</v>
      </c>
      <c r="H149" s="117">
        <v>140055.85999999999</v>
      </c>
      <c r="I149" s="117">
        <v>156321.67000000001</v>
      </c>
      <c r="J149" s="117">
        <v>138061.47</v>
      </c>
      <c r="K149" s="117">
        <v>159787.48000000001</v>
      </c>
      <c r="L149" s="117">
        <v>116550.3</v>
      </c>
      <c r="M149" s="117">
        <v>62395.22</v>
      </c>
      <c r="N149" s="117">
        <v>78209.289999999994</v>
      </c>
      <c r="O149" s="102">
        <f>SUM(C149:N149)</f>
        <v>1208129.49</v>
      </c>
    </row>
    <row r="150" spans="1:15" s="57" customFormat="1" ht="12.75" x14ac:dyDescent="0.2">
      <c r="A150" s="91" t="s">
        <v>62</v>
      </c>
      <c r="C150" s="117">
        <v>105021.52</v>
      </c>
      <c r="D150" s="117">
        <v>102043.65</v>
      </c>
      <c r="E150" s="117">
        <v>73857.929999999993</v>
      </c>
      <c r="F150" s="117">
        <v>48647.74</v>
      </c>
      <c r="G150" s="117">
        <v>70740.11</v>
      </c>
      <c r="H150" s="117">
        <v>190341.69</v>
      </c>
      <c r="I150" s="117">
        <v>184969.59</v>
      </c>
      <c r="J150" s="117">
        <v>165713.63</v>
      </c>
      <c r="K150" s="117">
        <v>164289.75</v>
      </c>
      <c r="L150" s="117">
        <v>126064.61</v>
      </c>
      <c r="M150" s="117">
        <v>61610.29</v>
      </c>
      <c r="N150" s="117">
        <v>85154.7</v>
      </c>
      <c r="O150" s="102">
        <f>SUM(C150:N150)</f>
        <v>1378455.21</v>
      </c>
    </row>
    <row r="151" spans="1:15" s="57" customFormat="1" ht="12.75" x14ac:dyDescent="0.2">
      <c r="A151" s="91" t="s">
        <v>61</v>
      </c>
      <c r="C151" s="117">
        <v>21096.7</v>
      </c>
      <c r="D151" s="117">
        <v>18223.09</v>
      </c>
      <c r="E151" s="117">
        <v>3610.98</v>
      </c>
      <c r="F151" s="117">
        <v>100.62</v>
      </c>
      <c r="G151" s="117">
        <v>19592.04</v>
      </c>
      <c r="H151" s="117">
        <v>303578.21000000002</v>
      </c>
      <c r="I151" s="117">
        <v>310415.06</v>
      </c>
      <c r="J151" s="117">
        <v>275004.09999999998</v>
      </c>
      <c r="K151" s="117">
        <v>196067.32</v>
      </c>
      <c r="L151" s="117">
        <v>281986.71999999997</v>
      </c>
      <c r="M151" s="117">
        <v>37421.97</v>
      </c>
      <c r="N151" s="117">
        <v>27181.77</v>
      </c>
      <c r="O151" s="102">
        <f>SUM(C151:N151)</f>
        <v>1494278.5799999998</v>
      </c>
    </row>
    <row r="152" spans="1:15" s="57" customFormat="1" ht="12.75" x14ac:dyDescent="0.2">
      <c r="A152" s="53" t="s">
        <v>84</v>
      </c>
      <c r="C152" s="102">
        <f>SUM(C147:C151)</f>
        <v>360073.44000000006</v>
      </c>
      <c r="D152" s="102">
        <f t="shared" ref="D152:N152" si="16">SUM(D147:D151)</f>
        <v>322864.39999999997</v>
      </c>
      <c r="E152" s="102">
        <f t="shared" si="16"/>
        <v>221205.1</v>
      </c>
      <c r="F152" s="102">
        <f t="shared" si="16"/>
        <v>144436.84999999998</v>
      </c>
      <c r="G152" s="102">
        <f t="shared" si="16"/>
        <v>188343.78</v>
      </c>
      <c r="H152" s="102">
        <f t="shared" si="16"/>
        <v>838731.83999999985</v>
      </c>
      <c r="I152" s="102">
        <f t="shared" si="16"/>
        <v>886819.23</v>
      </c>
      <c r="J152" s="102">
        <f t="shared" si="16"/>
        <v>788344.12</v>
      </c>
      <c r="K152" s="102">
        <f t="shared" si="16"/>
        <v>720540.3</v>
      </c>
      <c r="L152" s="102">
        <f t="shared" si="16"/>
        <v>659741.37999999989</v>
      </c>
      <c r="M152" s="102">
        <f t="shared" si="16"/>
        <v>220873.13</v>
      </c>
      <c r="N152" s="102">
        <f t="shared" si="16"/>
        <v>274117.47000000003</v>
      </c>
      <c r="O152" s="102">
        <f>SUM(C152:N152)</f>
        <v>5626091.0399999991</v>
      </c>
    </row>
    <row r="153" spans="1:15" s="57" customFormat="1" ht="12.75" x14ac:dyDescent="0.2">
      <c r="A153" s="53" t="s">
        <v>80</v>
      </c>
      <c r="C153" s="119">
        <f>C152/$O152</f>
        <v>6.4000642264757976E-2</v>
      </c>
      <c r="D153" s="119">
        <f t="shared" ref="D153:N153" si="17">D152/$O152</f>
        <v>5.7386984622986123E-2</v>
      </c>
      <c r="E153" s="119">
        <f t="shared" si="17"/>
        <v>3.9317724940334427E-2</v>
      </c>
      <c r="F153" s="119">
        <f t="shared" si="17"/>
        <v>2.5672682680229077E-2</v>
      </c>
      <c r="G153" s="119">
        <f t="shared" si="17"/>
        <v>3.347684540845966E-2</v>
      </c>
      <c r="H153" s="119">
        <f t="shared" si="17"/>
        <v>0.14907896691270037</v>
      </c>
      <c r="I153" s="119">
        <f t="shared" si="17"/>
        <v>0.15762617840609991</v>
      </c>
      <c r="J153" s="119">
        <f t="shared" si="17"/>
        <v>0.14012288716892149</v>
      </c>
      <c r="K153" s="119">
        <f t="shared" si="17"/>
        <v>0.12807121229947252</v>
      </c>
      <c r="L153" s="119">
        <f t="shared" si="17"/>
        <v>0.11726461148769465</v>
      </c>
      <c r="M153" s="119">
        <f t="shared" si="17"/>
        <v>3.9258719496298805E-2</v>
      </c>
      <c r="N153" s="119">
        <f t="shared" si="17"/>
        <v>4.8722544312045132E-2</v>
      </c>
      <c r="O153" s="119">
        <f>O152/$O152</f>
        <v>1</v>
      </c>
    </row>
    <row r="154" spans="1:15" s="57" customFormat="1" ht="12.75" x14ac:dyDescent="0.2">
      <c r="A154" s="53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</row>
    <row r="155" spans="1:15" s="57" customFormat="1" ht="12.75" x14ac:dyDescent="0.2">
      <c r="A155" s="91" t="s">
        <v>65</v>
      </c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</row>
    <row r="156" spans="1:15" s="57" customFormat="1" ht="12.75" x14ac:dyDescent="0.2">
      <c r="A156" s="91" t="s">
        <v>64</v>
      </c>
      <c r="C156" s="117">
        <v>143340.79</v>
      </c>
      <c r="D156" s="117">
        <v>131521.10999999999</v>
      </c>
      <c r="E156" s="117">
        <v>80795.710000000006</v>
      </c>
      <c r="F156" s="117">
        <v>57223.29</v>
      </c>
      <c r="G156" s="117">
        <v>48457.24</v>
      </c>
      <c r="H156" s="117">
        <v>217869.44</v>
      </c>
      <c r="I156" s="117">
        <v>239684.66</v>
      </c>
      <c r="J156" s="117">
        <v>205717.64</v>
      </c>
      <c r="K156" s="117">
        <v>65115.5</v>
      </c>
      <c r="L156" s="117">
        <v>1211.3800000000001</v>
      </c>
      <c r="M156" s="117">
        <v>969.35</v>
      </c>
      <c r="N156" s="117">
        <v>28079.7</v>
      </c>
      <c r="O156" s="102">
        <f>SUM(C156:N156)</f>
        <v>1219985.81</v>
      </c>
    </row>
    <row r="157" spans="1:15" s="57" customFormat="1" ht="12.75" x14ac:dyDescent="0.2">
      <c r="A157" s="91" t="s">
        <v>63</v>
      </c>
      <c r="C157" s="117">
        <v>111398.12</v>
      </c>
      <c r="D157" s="117">
        <v>103554.61</v>
      </c>
      <c r="E157" s="117">
        <v>70471.59</v>
      </c>
      <c r="F157" s="117">
        <v>52586.98</v>
      </c>
      <c r="G157" s="117">
        <v>55417.8</v>
      </c>
      <c r="H157" s="117">
        <v>140991.69</v>
      </c>
      <c r="I157" s="117">
        <v>158505.22</v>
      </c>
      <c r="J157" s="117">
        <v>148004.09</v>
      </c>
      <c r="K157" s="117">
        <v>52762.85</v>
      </c>
      <c r="L157" s="117">
        <v>5726.27</v>
      </c>
      <c r="M157" s="117">
        <v>16064.77</v>
      </c>
      <c r="N157" s="117">
        <v>40890.81</v>
      </c>
      <c r="O157" s="102">
        <f>SUM(C157:N157)</f>
        <v>956374.79999999981</v>
      </c>
    </row>
    <row r="158" spans="1:15" s="57" customFormat="1" ht="12.75" x14ac:dyDescent="0.2">
      <c r="A158" s="91" t="s">
        <v>62</v>
      </c>
      <c r="C158" s="117">
        <v>129953.28</v>
      </c>
      <c r="D158" s="117">
        <v>117351.55</v>
      </c>
      <c r="E158" s="117">
        <v>73144.289999999994</v>
      </c>
      <c r="F158" s="117">
        <v>55156.91</v>
      </c>
      <c r="G158" s="117">
        <v>75395.539999999994</v>
      </c>
      <c r="H158" s="117">
        <v>189263.35999999999</v>
      </c>
      <c r="I158" s="117">
        <v>187142.3</v>
      </c>
      <c r="J158" s="117">
        <v>155735.38</v>
      </c>
      <c r="K158" s="117">
        <v>73840.33</v>
      </c>
      <c r="L158" s="117">
        <v>26208.74</v>
      </c>
      <c r="M158" s="117">
        <v>39475.72</v>
      </c>
      <c r="N158" s="117">
        <v>77808.27</v>
      </c>
      <c r="O158" s="102">
        <f>SUM(C158:N158)</f>
        <v>1200475.67</v>
      </c>
    </row>
    <row r="159" spans="1:15" s="57" customFormat="1" ht="12.75" x14ac:dyDescent="0.2">
      <c r="A159" s="91" t="s">
        <v>61</v>
      </c>
      <c r="C159" s="117">
        <v>31874.16</v>
      </c>
      <c r="D159" s="117">
        <v>14928.3</v>
      </c>
      <c r="E159" s="117">
        <v>6337.47</v>
      </c>
      <c r="F159" s="117">
        <v>1862.29</v>
      </c>
      <c r="G159" s="117">
        <v>38917.42</v>
      </c>
      <c r="H159" s="117">
        <v>274119</v>
      </c>
      <c r="I159" s="117">
        <v>277126.49</v>
      </c>
      <c r="J159" s="117">
        <v>263795.90000000002</v>
      </c>
      <c r="K159" s="117">
        <v>48186.84</v>
      </c>
      <c r="L159" s="117">
        <v>0</v>
      </c>
      <c r="M159" s="117">
        <v>0</v>
      </c>
      <c r="N159" s="117">
        <v>885.15</v>
      </c>
      <c r="O159" s="102">
        <f>SUM(C159:N159)</f>
        <v>958033.02</v>
      </c>
    </row>
    <row r="160" spans="1:15" s="57" customFormat="1" ht="12.75" x14ac:dyDescent="0.2">
      <c r="A160" s="53" t="s">
        <v>87</v>
      </c>
      <c r="C160" s="102">
        <f>SUM(C155:C159)</f>
        <v>416566.35</v>
      </c>
      <c r="D160" s="102">
        <f t="shared" ref="D160:N160" si="18">SUM(D155:D159)</f>
        <v>367355.56999999995</v>
      </c>
      <c r="E160" s="102">
        <f t="shared" si="18"/>
        <v>230749.05999999997</v>
      </c>
      <c r="F160" s="102">
        <f t="shared" si="18"/>
        <v>166829.47</v>
      </c>
      <c r="G160" s="102">
        <f t="shared" si="18"/>
        <v>218188</v>
      </c>
      <c r="H160" s="102">
        <f t="shared" si="18"/>
        <v>822243.49</v>
      </c>
      <c r="I160" s="102">
        <f t="shared" si="18"/>
        <v>862458.66999999993</v>
      </c>
      <c r="J160" s="102">
        <f t="shared" si="18"/>
        <v>773253.01</v>
      </c>
      <c r="K160" s="102">
        <f t="shared" si="18"/>
        <v>239905.52</v>
      </c>
      <c r="L160" s="102">
        <f t="shared" si="18"/>
        <v>33146.39</v>
      </c>
      <c r="M160" s="102">
        <f t="shared" si="18"/>
        <v>56509.84</v>
      </c>
      <c r="N160" s="102">
        <f t="shared" si="18"/>
        <v>147663.93</v>
      </c>
      <c r="O160" s="102">
        <f>SUM(C160:N160)</f>
        <v>4334869.3</v>
      </c>
    </row>
    <row r="161" spans="1:15" s="57" customFormat="1" ht="12.75" x14ac:dyDescent="0.2">
      <c r="A161" s="53" t="s">
        <v>80</v>
      </c>
      <c r="C161" s="119">
        <f>C160/$O160</f>
        <v>9.6096634332204667E-2</v>
      </c>
      <c r="D161" s="119">
        <f t="shared" ref="D161:N161" si="19">D160/$O160</f>
        <v>8.4744324355984613E-2</v>
      </c>
      <c r="E161" s="119">
        <f t="shared" si="19"/>
        <v>5.3230915174305247E-2</v>
      </c>
      <c r="F161" s="119">
        <f t="shared" si="19"/>
        <v>3.8485467139689776E-2</v>
      </c>
      <c r="G161" s="119">
        <f t="shared" si="19"/>
        <v>5.0333236113946966E-2</v>
      </c>
      <c r="H161" s="119">
        <f t="shared" si="19"/>
        <v>0.18968126443858413</v>
      </c>
      <c r="I161" s="119">
        <f t="shared" si="19"/>
        <v>0.19895840227524275</v>
      </c>
      <c r="J161" s="119">
        <f t="shared" si="19"/>
        <v>0.17837977491039927</v>
      </c>
      <c r="K161" s="119">
        <f t="shared" si="19"/>
        <v>5.534319569911831E-2</v>
      </c>
      <c r="L161" s="119">
        <f t="shared" si="19"/>
        <v>7.6464566071230804E-3</v>
      </c>
      <c r="M161" s="119">
        <f t="shared" si="19"/>
        <v>1.3036111607794033E-2</v>
      </c>
      <c r="N161" s="119">
        <f t="shared" si="19"/>
        <v>3.4064217345607169E-2</v>
      </c>
      <c r="O161" s="119">
        <f>O160/$O160</f>
        <v>1</v>
      </c>
    </row>
    <row r="162" spans="1:15" s="57" customFormat="1" ht="12.75" x14ac:dyDescent="0.2">
      <c r="A162" s="53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</row>
    <row r="163" spans="1:15" s="57" customFormat="1" ht="12.75" x14ac:dyDescent="0.2">
      <c r="A163" s="91" t="s">
        <v>65</v>
      </c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</row>
    <row r="164" spans="1:15" s="57" customFormat="1" ht="12.75" x14ac:dyDescent="0.2">
      <c r="A164" s="91" t="s">
        <v>64</v>
      </c>
      <c r="C164" s="117">
        <v>143852.73000000001</v>
      </c>
      <c r="D164" s="117">
        <v>143024.03</v>
      </c>
      <c r="E164" s="117">
        <v>50166.16</v>
      </c>
      <c r="F164" s="117">
        <v>51698.01</v>
      </c>
      <c r="G164" s="117">
        <v>74122.880000000005</v>
      </c>
      <c r="H164" s="117">
        <v>22707.91</v>
      </c>
      <c r="I164" s="117">
        <v>55179.88</v>
      </c>
      <c r="J164" s="117">
        <v>196436.08</v>
      </c>
      <c r="K164" s="117">
        <v>203108.42</v>
      </c>
      <c r="L164" s="117">
        <v>135269.44</v>
      </c>
      <c r="M164" s="117">
        <v>69126.899999999994</v>
      </c>
      <c r="N164" s="117">
        <v>114586.78</v>
      </c>
      <c r="O164" s="102">
        <f>SUM(C164:N164)</f>
        <v>1259279.22</v>
      </c>
    </row>
    <row r="165" spans="1:15" s="57" customFormat="1" ht="12.75" x14ac:dyDescent="0.2">
      <c r="A165" s="91" t="s">
        <v>63</v>
      </c>
      <c r="C165" s="117">
        <v>79884.56</v>
      </c>
      <c r="D165" s="117">
        <v>79267.72</v>
      </c>
      <c r="E165" s="117">
        <v>38194.19</v>
      </c>
      <c r="F165" s="117">
        <v>38212.68</v>
      </c>
      <c r="G165" s="117">
        <v>50758.76</v>
      </c>
      <c r="H165" s="117">
        <v>37577.56</v>
      </c>
      <c r="I165" s="117">
        <v>46696.59</v>
      </c>
      <c r="J165" s="117">
        <v>91112.82</v>
      </c>
      <c r="K165" s="117">
        <v>110514.22</v>
      </c>
      <c r="L165" s="117">
        <v>92490.43</v>
      </c>
      <c r="M165" s="117">
        <v>57769.65</v>
      </c>
      <c r="N165" s="117">
        <v>83692.740000000005</v>
      </c>
      <c r="O165" s="102">
        <f>SUM(C165:N165)</f>
        <v>806171.92</v>
      </c>
    </row>
    <row r="166" spans="1:15" s="57" customFormat="1" ht="12.75" x14ac:dyDescent="0.2">
      <c r="A166" s="91" t="s">
        <v>62</v>
      </c>
      <c r="C166" s="117">
        <v>153294.66</v>
      </c>
      <c r="D166" s="117">
        <v>131332.96</v>
      </c>
      <c r="E166" s="117">
        <v>69630.37</v>
      </c>
      <c r="F166" s="117">
        <v>59078.26</v>
      </c>
      <c r="G166" s="117">
        <v>94562.15</v>
      </c>
      <c r="H166" s="117">
        <v>114477.16</v>
      </c>
      <c r="I166" s="117">
        <v>112788.02</v>
      </c>
      <c r="J166" s="117">
        <v>167329.28</v>
      </c>
      <c r="K166" s="117">
        <v>174995.98</v>
      </c>
      <c r="L166" s="117">
        <v>121178.56</v>
      </c>
      <c r="M166" s="117">
        <v>85153.06</v>
      </c>
      <c r="N166" s="117">
        <v>117423.27</v>
      </c>
      <c r="O166" s="102">
        <f>SUM(C166:N166)</f>
        <v>1401243.7300000002</v>
      </c>
    </row>
    <row r="167" spans="1:15" s="57" customFormat="1" ht="12.75" x14ac:dyDescent="0.2">
      <c r="A167" s="91" t="s">
        <v>61</v>
      </c>
      <c r="C167" s="117">
        <v>25611.61</v>
      </c>
      <c r="D167" s="117">
        <v>21059.9</v>
      </c>
      <c r="E167" s="117">
        <v>4269.4799999999996</v>
      </c>
      <c r="F167" s="117">
        <v>5612.84</v>
      </c>
      <c r="G167" s="117">
        <v>22353.97</v>
      </c>
      <c r="H167" s="117">
        <v>69120.11</v>
      </c>
      <c r="I167" s="117">
        <v>118221.96</v>
      </c>
      <c r="J167" s="117">
        <v>252664.42</v>
      </c>
      <c r="K167" s="117">
        <v>257361.36</v>
      </c>
      <c r="L167" s="117">
        <v>89358.68</v>
      </c>
      <c r="M167" s="117">
        <v>21187.23</v>
      </c>
      <c r="N167" s="117">
        <v>12024.48</v>
      </c>
      <c r="O167" s="102">
        <f>SUM(C167:N167)</f>
        <v>898846.04</v>
      </c>
    </row>
    <row r="168" spans="1:15" s="57" customFormat="1" ht="12.75" x14ac:dyDescent="0.2">
      <c r="A168" s="53" t="s">
        <v>89</v>
      </c>
      <c r="C168" s="102">
        <f>SUM(C163:C167)</f>
        <v>402643.56</v>
      </c>
      <c r="D168" s="102">
        <f t="shared" ref="D168:N168" si="20">SUM(D163:D167)</f>
        <v>374684.61</v>
      </c>
      <c r="E168" s="102">
        <f t="shared" si="20"/>
        <v>162260.20000000001</v>
      </c>
      <c r="F168" s="102">
        <f t="shared" si="20"/>
        <v>154601.79</v>
      </c>
      <c r="G168" s="102">
        <f t="shared" si="20"/>
        <v>241797.76000000001</v>
      </c>
      <c r="H168" s="102">
        <f t="shared" si="20"/>
        <v>243882.74</v>
      </c>
      <c r="I168" s="102">
        <f t="shared" si="20"/>
        <v>332886.45</v>
      </c>
      <c r="J168" s="102">
        <f t="shared" si="20"/>
        <v>707542.60000000009</v>
      </c>
      <c r="K168" s="102">
        <f t="shared" si="20"/>
        <v>745979.98</v>
      </c>
      <c r="L168" s="102">
        <f t="shared" si="20"/>
        <v>438297.11</v>
      </c>
      <c r="M168" s="102">
        <f t="shared" si="20"/>
        <v>233236.84</v>
      </c>
      <c r="N168" s="102">
        <f t="shared" si="20"/>
        <v>327727.27</v>
      </c>
      <c r="O168" s="102">
        <f>SUM(C168:N168)</f>
        <v>4365540.91</v>
      </c>
    </row>
    <row r="169" spans="1:15" s="57" customFormat="1" ht="12.75" x14ac:dyDescent="0.2">
      <c r="A169" s="53" t="s">
        <v>80</v>
      </c>
      <c r="C169" s="119">
        <f>C168/$O168</f>
        <v>9.2232226956727795E-2</v>
      </c>
      <c r="D169" s="119">
        <f t="shared" ref="D169:N169" si="21">D168/$O168</f>
        <v>8.5827762864785523E-2</v>
      </c>
      <c r="E169" s="119">
        <f t="shared" si="21"/>
        <v>3.7168406698083148E-2</v>
      </c>
      <c r="F169" s="119">
        <f t="shared" si="21"/>
        <v>3.5414120079795566E-2</v>
      </c>
      <c r="G169" s="119">
        <f t="shared" si="21"/>
        <v>5.5387812182935196E-2</v>
      </c>
      <c r="H169" s="119">
        <f t="shared" si="21"/>
        <v>5.5865411647236171E-2</v>
      </c>
      <c r="I169" s="119">
        <f t="shared" si="21"/>
        <v>7.6253196765942111E-2</v>
      </c>
      <c r="J169" s="119">
        <f t="shared" si="21"/>
        <v>0.16207444039277141</v>
      </c>
      <c r="K169" s="119">
        <f t="shared" si="21"/>
        <v>0.17087916374605683</v>
      </c>
      <c r="L169" s="119">
        <f t="shared" si="21"/>
        <v>0.10039926759041641</v>
      </c>
      <c r="M169" s="119">
        <f t="shared" si="21"/>
        <v>5.3426790587560884E-2</v>
      </c>
      <c r="N169" s="119">
        <f t="shared" si="21"/>
        <v>7.5071400487688941E-2</v>
      </c>
      <c r="O169" s="119">
        <f>O168/$O168</f>
        <v>1</v>
      </c>
    </row>
    <row r="170" spans="1:15" s="57" customFormat="1" ht="12.75" x14ac:dyDescent="0.2">
      <c r="A170" s="63"/>
      <c r="C170" s="126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</row>
    <row r="171" spans="1:15" s="57" customFormat="1" ht="12.75" x14ac:dyDescent="0.2">
      <c r="A171" s="91" t="s">
        <v>65</v>
      </c>
      <c r="C171" s="125">
        <v>0</v>
      </c>
      <c r="D171" s="125">
        <v>0</v>
      </c>
      <c r="E171" s="125">
        <v>0</v>
      </c>
      <c r="F171" s="125">
        <v>0</v>
      </c>
      <c r="G171" s="125">
        <v>0</v>
      </c>
      <c r="H171" s="125">
        <v>0</v>
      </c>
      <c r="I171" s="125">
        <v>0</v>
      </c>
      <c r="J171" s="127">
        <v>0</v>
      </c>
      <c r="K171" s="125">
        <v>0</v>
      </c>
      <c r="L171" s="125">
        <v>0</v>
      </c>
      <c r="M171" s="125">
        <v>0</v>
      </c>
      <c r="N171" s="125">
        <v>0</v>
      </c>
      <c r="O171" s="125">
        <v>0</v>
      </c>
    </row>
    <row r="172" spans="1:15" s="57" customFormat="1" ht="12.75" x14ac:dyDescent="0.2">
      <c r="A172" s="91" t="s">
        <v>64</v>
      </c>
      <c r="C172" s="127">
        <v>192552.18</v>
      </c>
      <c r="D172" s="127">
        <v>141984</v>
      </c>
      <c r="E172" s="127">
        <v>63201.01</v>
      </c>
      <c r="F172" s="127">
        <v>66314.740000000005</v>
      </c>
      <c r="G172" s="127">
        <v>105664.02</v>
      </c>
      <c r="H172" s="127">
        <v>308054.25</v>
      </c>
      <c r="I172" s="127">
        <v>335627.98</v>
      </c>
      <c r="J172" s="127">
        <v>294667.53000000003</v>
      </c>
      <c r="K172" s="127">
        <v>230418.8</v>
      </c>
      <c r="L172" s="127">
        <v>126422.25</v>
      </c>
      <c r="M172" s="127">
        <v>64241.63</v>
      </c>
      <c r="N172" s="127">
        <v>110784.27</v>
      </c>
      <c r="O172" s="125">
        <f>SUM(C172:N172)</f>
        <v>2039932.66</v>
      </c>
    </row>
    <row r="173" spans="1:15" s="57" customFormat="1" ht="12.75" x14ac:dyDescent="0.2">
      <c r="A173" s="91" t="s">
        <v>63</v>
      </c>
      <c r="C173" s="127">
        <v>131319.9</v>
      </c>
      <c r="D173" s="127">
        <v>102453.81</v>
      </c>
      <c r="E173" s="127">
        <v>60203.39</v>
      </c>
      <c r="F173" s="127">
        <v>57637.43</v>
      </c>
      <c r="G173" s="127">
        <v>87124.14</v>
      </c>
      <c r="H173" s="127">
        <v>141805.79999999999</v>
      </c>
      <c r="I173" s="127">
        <v>179984.03</v>
      </c>
      <c r="J173" s="127">
        <v>168941.68</v>
      </c>
      <c r="K173" s="127">
        <v>164324.26</v>
      </c>
      <c r="L173" s="127">
        <v>108346.97</v>
      </c>
      <c r="M173" s="127">
        <v>61233.54</v>
      </c>
      <c r="N173" s="127">
        <v>89749.15</v>
      </c>
      <c r="O173" s="125">
        <f t="shared" ref="O173:O175" si="22">SUM(C173:N173)</f>
        <v>1353124.0999999999</v>
      </c>
    </row>
    <row r="174" spans="1:15" s="57" customFormat="1" ht="12.75" x14ac:dyDescent="0.2">
      <c r="A174" s="91" t="s">
        <v>62</v>
      </c>
      <c r="C174" s="127">
        <v>153770.10999999999</v>
      </c>
      <c r="D174" s="127">
        <v>124113.12</v>
      </c>
      <c r="E174" s="127">
        <v>75277.64</v>
      </c>
      <c r="F174" s="127">
        <v>67272.28</v>
      </c>
      <c r="G174" s="127">
        <v>117854.01</v>
      </c>
      <c r="H174" s="127">
        <v>221752.1</v>
      </c>
      <c r="I174" s="127">
        <v>206604.96</v>
      </c>
      <c r="J174" s="127">
        <v>190511.3</v>
      </c>
      <c r="K174" s="127">
        <v>196850.07</v>
      </c>
      <c r="L174" s="127">
        <v>112198.46</v>
      </c>
      <c r="M174" s="127">
        <v>76920.42</v>
      </c>
      <c r="N174" s="127">
        <v>106797.18</v>
      </c>
      <c r="O174" s="125">
        <f t="shared" si="22"/>
        <v>1649921.65</v>
      </c>
    </row>
    <row r="175" spans="1:15" s="57" customFormat="1" ht="12.75" x14ac:dyDescent="0.2">
      <c r="A175" s="91" t="s">
        <v>61</v>
      </c>
      <c r="C175" s="127">
        <v>40253.46</v>
      </c>
      <c r="D175" s="127">
        <v>42483.9</v>
      </c>
      <c r="E175" s="127">
        <v>13107.72</v>
      </c>
      <c r="F175" s="127">
        <v>8887.67</v>
      </c>
      <c r="G175" s="127">
        <v>119621.28</v>
      </c>
      <c r="H175" s="127">
        <v>264356.71999999997</v>
      </c>
      <c r="I175" s="127">
        <v>311257.82</v>
      </c>
      <c r="J175" s="127">
        <v>284026.3</v>
      </c>
      <c r="K175" s="127">
        <v>206699.72</v>
      </c>
      <c r="L175" s="127">
        <v>91167.49</v>
      </c>
      <c r="M175" s="127">
        <v>11876.7</v>
      </c>
      <c r="N175" s="127">
        <v>9477.86</v>
      </c>
      <c r="O175" s="125">
        <f t="shared" si="22"/>
        <v>1403216.6400000001</v>
      </c>
    </row>
    <row r="176" spans="1:15" s="57" customFormat="1" ht="12.75" x14ac:dyDescent="0.2">
      <c r="A176" s="53" t="s">
        <v>91</v>
      </c>
      <c r="C176" s="125">
        <f>SUM(C171:C175)</f>
        <v>517895.64999999997</v>
      </c>
      <c r="D176" s="125">
        <f t="shared" ref="D176:N176" si="23">SUM(D171:D175)</f>
        <v>411034.83</v>
      </c>
      <c r="E176" s="125">
        <f t="shared" si="23"/>
        <v>211789.75999999998</v>
      </c>
      <c r="F176" s="125">
        <f t="shared" si="23"/>
        <v>200112.12000000002</v>
      </c>
      <c r="G176" s="125">
        <f t="shared" si="23"/>
        <v>430263.44999999995</v>
      </c>
      <c r="H176" s="125">
        <f t="shared" si="23"/>
        <v>935968.87</v>
      </c>
      <c r="I176" s="125">
        <f t="shared" si="23"/>
        <v>1033474.79</v>
      </c>
      <c r="J176" s="125">
        <f t="shared" si="23"/>
        <v>938146.81</v>
      </c>
      <c r="K176" s="125">
        <f t="shared" si="23"/>
        <v>798292.85</v>
      </c>
      <c r="L176" s="125">
        <f t="shared" si="23"/>
        <v>438135.17</v>
      </c>
      <c r="M176" s="125">
        <f t="shared" si="23"/>
        <v>214272.29</v>
      </c>
      <c r="N176" s="125">
        <f t="shared" si="23"/>
        <v>316808.45999999996</v>
      </c>
      <c r="O176" s="125">
        <f>SUM(C176:N176)</f>
        <v>6446195.0499999998</v>
      </c>
    </row>
    <row r="177" spans="1:15" s="57" customFormat="1" ht="12.75" x14ac:dyDescent="0.2">
      <c r="A177" s="53" t="s">
        <v>80</v>
      </c>
      <c r="C177" s="119">
        <f>C176/$O176</f>
        <v>8.0341293737303213E-2</v>
      </c>
      <c r="D177" s="119">
        <f t="shared" ref="D177:O177" si="24">D176/$O176</f>
        <v>6.3763945523181154E-2</v>
      </c>
      <c r="E177" s="119">
        <f t="shared" si="24"/>
        <v>3.2855003355816856E-2</v>
      </c>
      <c r="F177" s="119">
        <f t="shared" si="24"/>
        <v>3.1043447870849027E-2</v>
      </c>
      <c r="G177" s="119">
        <f t="shared" si="24"/>
        <v>6.6746886599405642E-2</v>
      </c>
      <c r="H177" s="119">
        <f t="shared" si="24"/>
        <v>0.14519710662493837</v>
      </c>
      <c r="I177" s="119">
        <f t="shared" si="24"/>
        <v>0.16032322664515095</v>
      </c>
      <c r="J177" s="119">
        <f t="shared" si="24"/>
        <v>0.14553497105241953</v>
      </c>
      <c r="K177" s="119">
        <f t="shared" si="24"/>
        <v>0.12383938801231278</v>
      </c>
      <c r="L177" s="119">
        <f t="shared" si="24"/>
        <v>6.7968028674527933E-2</v>
      </c>
      <c r="M177" s="119">
        <f t="shared" si="24"/>
        <v>3.3240118913249454E-2</v>
      </c>
      <c r="N177" s="119">
        <f t="shared" si="24"/>
        <v>4.9146582990845115E-2</v>
      </c>
      <c r="O177" s="119">
        <f t="shared" si="24"/>
        <v>1</v>
      </c>
    </row>
    <row r="178" spans="1:15" s="57" customFormat="1" ht="12.75" x14ac:dyDescent="0.2">
      <c r="A178" s="136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</row>
    <row r="179" spans="1:15" s="57" customFormat="1" ht="12.75" x14ac:dyDescent="0.2">
      <c r="A179" s="91" t="s">
        <v>65</v>
      </c>
      <c r="B179" s="54"/>
      <c r="C179" s="125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</row>
    <row r="180" spans="1:15" s="57" customFormat="1" ht="12.75" x14ac:dyDescent="0.2">
      <c r="A180" s="91" t="s">
        <v>64</v>
      </c>
      <c r="B180" s="54"/>
      <c r="C180" s="124">
        <v>166886.35999999999</v>
      </c>
      <c r="D180" s="124">
        <v>132078.94</v>
      </c>
      <c r="E180" s="124">
        <v>93193.03</v>
      </c>
      <c r="F180" s="124">
        <v>69326.95</v>
      </c>
      <c r="G180" s="124">
        <v>104587.69</v>
      </c>
      <c r="H180" s="124">
        <v>341318.77</v>
      </c>
      <c r="I180" s="124">
        <v>376467.21</v>
      </c>
      <c r="J180" s="124">
        <v>316901.28999999998</v>
      </c>
      <c r="K180" s="124">
        <v>249033.5</v>
      </c>
      <c r="L180" s="124">
        <v>213719.55</v>
      </c>
      <c r="M180" s="124">
        <v>99405.27</v>
      </c>
      <c r="N180" s="124">
        <v>96397.03</v>
      </c>
      <c r="O180" s="125">
        <f>SUM(C180:N180)</f>
        <v>2259315.59</v>
      </c>
    </row>
    <row r="181" spans="1:15" s="57" customFormat="1" ht="12.75" x14ac:dyDescent="0.2">
      <c r="A181" s="91" t="s">
        <v>63</v>
      </c>
      <c r="B181" s="54"/>
      <c r="C181" s="127">
        <v>125688.66</v>
      </c>
      <c r="D181" s="127">
        <v>101655.58</v>
      </c>
      <c r="E181" s="127">
        <v>86690.48</v>
      </c>
      <c r="F181" s="127">
        <v>62602.19</v>
      </c>
      <c r="G181" s="127">
        <v>92153.09</v>
      </c>
      <c r="H181" s="127">
        <v>184854.17</v>
      </c>
      <c r="I181" s="127">
        <v>200328.72</v>
      </c>
      <c r="J181" s="127">
        <v>191590.77</v>
      </c>
      <c r="K181" s="127">
        <v>133827.94</v>
      </c>
      <c r="L181" s="127">
        <v>143404.43</v>
      </c>
      <c r="M181" s="127">
        <v>87175.42</v>
      </c>
      <c r="N181" s="127">
        <v>84478.04</v>
      </c>
      <c r="O181" s="125">
        <f t="shared" ref="O181:O183" si="25">SUM(C181:N181)</f>
        <v>1494449.49</v>
      </c>
    </row>
    <row r="182" spans="1:15" s="57" customFormat="1" ht="12.75" x14ac:dyDescent="0.2">
      <c r="A182" s="91" t="s">
        <v>62</v>
      </c>
      <c r="B182" s="54"/>
      <c r="C182" s="127">
        <v>146213.85</v>
      </c>
      <c r="D182" s="127">
        <v>123626.22</v>
      </c>
      <c r="E182" s="127">
        <v>92212.07</v>
      </c>
      <c r="F182" s="127">
        <v>69063.839999999997</v>
      </c>
      <c r="G182" s="127">
        <v>124579.85</v>
      </c>
      <c r="H182" s="127">
        <v>250965.44</v>
      </c>
      <c r="I182" s="127">
        <v>210584.07</v>
      </c>
      <c r="J182" s="127">
        <v>186144.93</v>
      </c>
      <c r="K182" s="127">
        <v>159972.53</v>
      </c>
      <c r="L182" s="127">
        <v>142330.70000000001</v>
      </c>
      <c r="M182" s="127">
        <v>94777.95</v>
      </c>
      <c r="N182" s="127">
        <v>87470.399999999994</v>
      </c>
      <c r="O182" s="125">
        <f t="shared" si="25"/>
        <v>1687941.8499999999</v>
      </c>
    </row>
    <row r="183" spans="1:15" s="57" customFormat="1" ht="12.75" x14ac:dyDescent="0.2">
      <c r="A183" s="91" t="s">
        <v>61</v>
      </c>
      <c r="B183" s="54"/>
      <c r="C183" s="127">
        <v>17662.099999999999</v>
      </c>
      <c r="D183" s="127">
        <v>20793.52</v>
      </c>
      <c r="E183" s="127">
        <v>32005.55</v>
      </c>
      <c r="F183" s="127">
        <v>18458.009999999998</v>
      </c>
      <c r="G183" s="127">
        <v>109986.97</v>
      </c>
      <c r="H183" s="127">
        <v>313027.32</v>
      </c>
      <c r="I183" s="127">
        <v>349874.6</v>
      </c>
      <c r="J183" s="127">
        <v>295778.01</v>
      </c>
      <c r="K183" s="127">
        <v>222976.6</v>
      </c>
      <c r="L183" s="127">
        <v>156440.4</v>
      </c>
      <c r="M183" s="127">
        <v>43946.47</v>
      </c>
      <c r="N183" s="127">
        <v>23754.47</v>
      </c>
      <c r="O183" s="125">
        <f t="shared" si="25"/>
        <v>1604704.02</v>
      </c>
    </row>
    <row r="184" spans="1:15" s="57" customFormat="1" ht="12.75" x14ac:dyDescent="0.2">
      <c r="A184" s="53" t="s">
        <v>93</v>
      </c>
      <c r="B184" s="54"/>
      <c r="C184" s="125">
        <f>SUM(C180:C183)</f>
        <v>456450.97</v>
      </c>
      <c r="D184" s="125">
        <f>SUM(D180:D183)</f>
        <v>378154.26</v>
      </c>
      <c r="E184" s="125">
        <f>SUM(E180:E183)</f>
        <v>304101.13</v>
      </c>
      <c r="F184" s="125">
        <f>SUM(F180:F183)</f>
        <v>219450.99000000002</v>
      </c>
      <c r="G184" s="125">
        <f t="shared" ref="G184:N184" si="26">SUM(G180:G183)</f>
        <v>431307.6</v>
      </c>
      <c r="H184" s="125">
        <f t="shared" si="26"/>
        <v>1090165.7000000002</v>
      </c>
      <c r="I184" s="125">
        <f t="shared" si="26"/>
        <v>1137254.6000000001</v>
      </c>
      <c r="J184" s="125">
        <f t="shared" si="26"/>
        <v>990415</v>
      </c>
      <c r="K184" s="125">
        <f t="shared" si="26"/>
        <v>765810.57</v>
      </c>
      <c r="L184" s="125">
        <f t="shared" si="26"/>
        <v>655895.07999999996</v>
      </c>
      <c r="M184" s="125">
        <f t="shared" si="26"/>
        <v>325305.11</v>
      </c>
      <c r="N184" s="125">
        <f t="shared" si="26"/>
        <v>292099.93999999994</v>
      </c>
      <c r="O184" s="125">
        <f t="shared" ref="O184" si="27">SUM(O179:O183)</f>
        <v>7046410.9499999993</v>
      </c>
    </row>
    <row r="185" spans="1:15" s="57" customFormat="1" ht="12.75" x14ac:dyDescent="0.2">
      <c r="A185" s="53" t="s">
        <v>80</v>
      </c>
      <c r="B185" s="54"/>
      <c r="C185" s="119">
        <f>C184/$O184</f>
        <v>6.4777795850808284E-2</v>
      </c>
      <c r="D185" s="119">
        <f t="shared" ref="D185:L185" si="28">D184/$O184</f>
        <v>5.3666222802404115E-2</v>
      </c>
      <c r="E185" s="119">
        <f t="shared" si="28"/>
        <v>4.3156882582898466E-2</v>
      </c>
      <c r="F185" s="119">
        <f t="shared" si="28"/>
        <v>3.1143654770802155E-2</v>
      </c>
      <c r="G185" s="119">
        <f t="shared" si="28"/>
        <v>6.1209543845863836E-2</v>
      </c>
      <c r="H185" s="119">
        <f t="shared" si="28"/>
        <v>0.15471219429800645</v>
      </c>
      <c r="I185" s="119">
        <f t="shared" si="28"/>
        <v>0.16139487294592153</v>
      </c>
      <c r="J185" s="119">
        <f t="shared" si="28"/>
        <v>0.1405559521049507</v>
      </c>
      <c r="K185" s="119">
        <f t="shared" si="28"/>
        <v>0.10868094061417181</v>
      </c>
      <c r="L185" s="119">
        <f t="shared" si="28"/>
        <v>9.3082149856729551E-2</v>
      </c>
      <c r="M185" s="119">
        <f>M184/$O184</f>
        <v>4.6166071253621675E-2</v>
      </c>
      <c r="N185" s="119">
        <f>N184/$O184</f>
        <v>4.1453719073821539E-2</v>
      </c>
      <c r="O185" s="119">
        <f>O184/$O184</f>
        <v>1</v>
      </c>
    </row>
    <row r="186" spans="1:15" s="57" customFormat="1" ht="12.75" x14ac:dyDescent="0.2">
      <c r="A186" s="63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</row>
    <row r="187" spans="1:15" s="57" customFormat="1" ht="12.75" x14ac:dyDescent="0.2">
      <c r="A187" s="91" t="s">
        <v>65</v>
      </c>
      <c r="B187" s="54"/>
      <c r="C187" s="127">
        <v>0</v>
      </c>
      <c r="D187" s="127">
        <v>0</v>
      </c>
      <c r="E187" s="127">
        <v>0</v>
      </c>
      <c r="F187" s="127">
        <v>0</v>
      </c>
      <c r="G187" s="127">
        <v>0</v>
      </c>
      <c r="H187" s="127">
        <v>0</v>
      </c>
      <c r="I187" s="127">
        <v>0</v>
      </c>
      <c r="J187" s="127">
        <v>0</v>
      </c>
      <c r="K187" s="127">
        <v>0</v>
      </c>
      <c r="L187" s="127">
        <v>0</v>
      </c>
      <c r="M187" s="127">
        <v>0</v>
      </c>
      <c r="N187" s="127">
        <v>0</v>
      </c>
      <c r="O187" s="125">
        <v>0</v>
      </c>
    </row>
    <row r="188" spans="1:15" s="57" customFormat="1" ht="12.75" x14ac:dyDescent="0.2">
      <c r="A188" s="91" t="s">
        <v>64</v>
      </c>
      <c r="B188" s="54"/>
      <c r="C188" s="127">
        <v>167539.76</v>
      </c>
      <c r="D188" s="127">
        <v>145202.64000000001</v>
      </c>
      <c r="E188" s="127">
        <v>108933.57</v>
      </c>
      <c r="F188" s="127">
        <v>80622.55</v>
      </c>
      <c r="G188" s="127">
        <v>78211.39</v>
      </c>
      <c r="H188" s="127">
        <v>247767.73</v>
      </c>
      <c r="I188" s="127">
        <v>314611.49</v>
      </c>
      <c r="J188" s="127">
        <v>334018.15000000002</v>
      </c>
      <c r="K188" s="127">
        <v>290341.01</v>
      </c>
      <c r="L188" s="127">
        <v>167050.1</v>
      </c>
      <c r="M188" s="127">
        <v>70341.11</v>
      </c>
      <c r="N188" s="127">
        <v>94093.37</v>
      </c>
      <c r="O188" s="125">
        <f>SUM(C188:N188)</f>
        <v>2098732.87</v>
      </c>
    </row>
    <row r="189" spans="1:15" s="57" customFormat="1" ht="12.75" x14ac:dyDescent="0.2">
      <c r="A189" s="91" t="s">
        <v>63</v>
      </c>
      <c r="B189" s="54"/>
      <c r="C189" s="127">
        <v>126808.42</v>
      </c>
      <c r="D189" s="127">
        <v>107681.69</v>
      </c>
      <c r="E189" s="127">
        <v>83644.36</v>
      </c>
      <c r="F189" s="127">
        <v>61126.64</v>
      </c>
      <c r="G189" s="127">
        <v>70666.490000000005</v>
      </c>
      <c r="H189" s="127">
        <v>142055.26</v>
      </c>
      <c r="I189" s="127">
        <v>172049.27</v>
      </c>
      <c r="J189" s="127">
        <v>180448.47</v>
      </c>
      <c r="K189" s="127">
        <v>181527.66</v>
      </c>
      <c r="L189" s="127">
        <v>122713.74</v>
      </c>
      <c r="M189" s="127">
        <v>68629.83</v>
      </c>
      <c r="N189" s="127">
        <v>80638.27</v>
      </c>
      <c r="O189" s="125">
        <f t="shared" ref="O189:O192" si="29">SUM(C189:N189)</f>
        <v>1397990.1</v>
      </c>
    </row>
    <row r="190" spans="1:15" s="57" customFormat="1" ht="12.75" x14ac:dyDescent="0.2">
      <c r="A190" s="91" t="s">
        <v>62</v>
      </c>
      <c r="B190" s="54"/>
      <c r="C190" s="127">
        <v>131870.35999999999</v>
      </c>
      <c r="D190" s="127">
        <v>121590.23</v>
      </c>
      <c r="E190" s="127">
        <v>81673.14</v>
      </c>
      <c r="F190" s="127">
        <v>61766.7</v>
      </c>
      <c r="G190" s="127">
        <v>89007.8</v>
      </c>
      <c r="H190" s="127">
        <v>165120.82</v>
      </c>
      <c r="I190" s="127">
        <v>176422.7</v>
      </c>
      <c r="J190" s="127">
        <v>177679.58</v>
      </c>
      <c r="K190" s="127">
        <v>164270.26999999999</v>
      </c>
      <c r="L190" s="127">
        <v>115676.79</v>
      </c>
      <c r="M190" s="127">
        <v>77230.62</v>
      </c>
      <c r="N190" s="127">
        <v>87512.6</v>
      </c>
      <c r="O190" s="125">
        <f t="shared" si="29"/>
        <v>1449821.6099999999</v>
      </c>
    </row>
    <row r="191" spans="1:15" s="57" customFormat="1" ht="12.75" x14ac:dyDescent="0.2">
      <c r="A191" s="91" t="s">
        <v>99</v>
      </c>
      <c r="B191" s="54"/>
      <c r="C191" s="127">
        <v>25381.01</v>
      </c>
      <c r="D191" s="127">
        <v>17408.080000000002</v>
      </c>
      <c r="E191" s="127">
        <v>52331.69</v>
      </c>
      <c r="F191" s="127">
        <v>46693.71</v>
      </c>
      <c r="G191" s="127">
        <v>140411.88</v>
      </c>
      <c r="H191" s="127">
        <v>312559.45</v>
      </c>
      <c r="I191" s="127">
        <v>376276.14</v>
      </c>
      <c r="J191" s="127">
        <v>376985.74</v>
      </c>
      <c r="K191" s="127">
        <v>276013.14</v>
      </c>
      <c r="L191" s="127">
        <v>95994.12</v>
      </c>
      <c r="M191" s="127">
        <v>27975.66</v>
      </c>
      <c r="N191" s="127">
        <v>16928.89</v>
      </c>
      <c r="O191" s="125">
        <f t="shared" si="29"/>
        <v>1764959.5100000002</v>
      </c>
    </row>
    <row r="192" spans="1:15" s="57" customFormat="1" ht="12.75" x14ac:dyDescent="0.2">
      <c r="A192" s="53" t="s">
        <v>97</v>
      </c>
      <c r="B192" s="54"/>
      <c r="C192" s="125">
        <f>SUM(C187:C191)</f>
        <v>451599.55</v>
      </c>
      <c r="D192" s="125">
        <f t="shared" ref="D192:N192" si="30">SUM(D187:D191)</f>
        <v>391882.64</v>
      </c>
      <c r="E192" s="125">
        <f t="shared" si="30"/>
        <v>326582.76</v>
      </c>
      <c r="F192" s="125">
        <f t="shared" si="30"/>
        <v>250209.6</v>
      </c>
      <c r="G192" s="125">
        <f t="shared" si="30"/>
        <v>378297.56</v>
      </c>
      <c r="H192" s="125">
        <f t="shared" si="30"/>
        <v>867503.26</v>
      </c>
      <c r="I192" s="125">
        <f t="shared" si="30"/>
        <v>1039359.6</v>
      </c>
      <c r="J192" s="125">
        <f t="shared" si="30"/>
        <v>1069131.94</v>
      </c>
      <c r="K192" s="125">
        <f t="shared" si="30"/>
        <v>912152.08000000007</v>
      </c>
      <c r="L192" s="125">
        <f t="shared" si="30"/>
        <v>501434.75</v>
      </c>
      <c r="M192" s="125">
        <f t="shared" si="30"/>
        <v>244177.22</v>
      </c>
      <c r="N192" s="125">
        <f t="shared" si="30"/>
        <v>279173.13</v>
      </c>
      <c r="O192" s="125">
        <f t="shared" si="29"/>
        <v>6711504.0899999999</v>
      </c>
    </row>
    <row r="193" spans="1:15" s="57" customFormat="1" ht="12.75" x14ac:dyDescent="0.2">
      <c r="A193" s="53" t="s">
        <v>80</v>
      </c>
      <c r="B193" s="54"/>
      <c r="C193" s="119">
        <f>C192/$O192</f>
        <v>6.728738356471746E-2</v>
      </c>
      <c r="D193" s="119">
        <f t="shared" ref="D193:O193" si="31">D192/$O192</f>
        <v>5.8389689515930848E-2</v>
      </c>
      <c r="E193" s="119">
        <f t="shared" si="31"/>
        <v>4.8660144674068137E-2</v>
      </c>
      <c r="F193" s="119">
        <f t="shared" si="31"/>
        <v>3.7280704391256657E-2</v>
      </c>
      <c r="G193" s="119">
        <f t="shared" si="31"/>
        <v>5.6365541155469968E-2</v>
      </c>
      <c r="H193" s="119">
        <f t="shared" si="31"/>
        <v>0.12925616201181514</v>
      </c>
      <c r="I193" s="119">
        <f t="shared" si="31"/>
        <v>0.15486239538296995</v>
      </c>
      <c r="J193" s="119">
        <f t="shared" si="31"/>
        <v>0.15929841145340046</v>
      </c>
      <c r="K193" s="119">
        <f t="shared" si="31"/>
        <v>0.13590874232783193</v>
      </c>
      <c r="L193" s="119">
        <f t="shared" si="31"/>
        <v>7.4712723597550545E-2</v>
      </c>
      <c r="M193" s="119">
        <f t="shared" si="31"/>
        <v>3.6381892452962805E-2</v>
      </c>
      <c r="N193" s="119">
        <f t="shared" si="31"/>
        <v>4.1596209472026115E-2</v>
      </c>
      <c r="O193" s="119">
        <f t="shared" si="31"/>
        <v>1</v>
      </c>
    </row>
    <row r="194" spans="1:15" s="57" customFormat="1" ht="12.75" x14ac:dyDescent="0.2">
      <c r="A194" s="63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</row>
    <row r="195" spans="1:15" s="57" customFormat="1" ht="12.75" x14ac:dyDescent="0.2">
      <c r="A195" s="91" t="s">
        <v>65</v>
      </c>
      <c r="B195" s="54"/>
      <c r="C195" s="127">
        <v>0</v>
      </c>
      <c r="D195" s="127">
        <v>0</v>
      </c>
      <c r="E195" s="127">
        <v>0</v>
      </c>
      <c r="F195" s="127">
        <v>0</v>
      </c>
      <c r="G195" s="127">
        <v>0</v>
      </c>
      <c r="H195" s="127">
        <v>0</v>
      </c>
      <c r="I195" s="127">
        <v>0</v>
      </c>
      <c r="J195" s="127">
        <v>0</v>
      </c>
      <c r="K195" s="127">
        <v>0</v>
      </c>
      <c r="L195" s="127">
        <v>0</v>
      </c>
      <c r="M195" s="127">
        <v>0</v>
      </c>
      <c r="N195" s="127">
        <v>0</v>
      </c>
      <c r="O195" s="125">
        <v>0</v>
      </c>
    </row>
    <row r="196" spans="1:15" s="57" customFormat="1" ht="12.75" x14ac:dyDescent="0.2">
      <c r="A196" s="91" t="s">
        <v>64</v>
      </c>
      <c r="B196" s="54"/>
      <c r="C196" s="127">
        <v>171319.93</v>
      </c>
      <c r="D196" s="127">
        <v>147677.85</v>
      </c>
      <c r="E196" s="127">
        <v>97430.98</v>
      </c>
      <c r="F196" s="127">
        <v>77527.48</v>
      </c>
      <c r="G196" s="127">
        <v>70729.83</v>
      </c>
      <c r="H196" s="127">
        <v>290907.05</v>
      </c>
      <c r="I196" s="127">
        <v>338077.65</v>
      </c>
      <c r="J196" s="127">
        <v>325243.73</v>
      </c>
      <c r="K196" s="127">
        <v>293271.25</v>
      </c>
      <c r="L196" s="127">
        <v>154033.4</v>
      </c>
      <c r="M196" s="127">
        <v>60763.31</v>
      </c>
      <c r="N196" s="127">
        <v>105285.32</v>
      </c>
      <c r="O196" s="125">
        <f>SUM(C196:N196)</f>
        <v>2132267.7799999998</v>
      </c>
    </row>
    <row r="197" spans="1:15" s="57" customFormat="1" ht="12.75" x14ac:dyDescent="0.2">
      <c r="A197" s="91" t="s">
        <v>63</v>
      </c>
      <c r="B197" s="54"/>
      <c r="C197" s="127">
        <v>122015.14</v>
      </c>
      <c r="D197" s="127">
        <v>109906.55</v>
      </c>
      <c r="E197" s="127">
        <v>76803.759999999995</v>
      </c>
      <c r="F197" s="127">
        <v>64347.03</v>
      </c>
      <c r="G197" s="127">
        <v>73882.38</v>
      </c>
      <c r="H197" s="127">
        <v>167514.42000000001</v>
      </c>
      <c r="I197" s="127">
        <v>190238.88</v>
      </c>
      <c r="J197" s="127">
        <v>183180.31</v>
      </c>
      <c r="K197" s="127">
        <v>190827.37</v>
      </c>
      <c r="L197" s="127">
        <v>125416.4</v>
      </c>
      <c r="M197" s="127">
        <v>57072.65</v>
      </c>
      <c r="N197" s="127">
        <v>87930.29</v>
      </c>
      <c r="O197" s="125">
        <f t="shared" ref="O197:O200" si="32">SUM(C197:N197)</f>
        <v>1449135.1799999997</v>
      </c>
    </row>
    <row r="198" spans="1:15" s="57" customFormat="1" ht="12.75" x14ac:dyDescent="0.2">
      <c r="A198" s="91" t="s">
        <v>62</v>
      </c>
      <c r="B198" s="54"/>
      <c r="C198" s="127">
        <v>134045.59</v>
      </c>
      <c r="D198" s="127">
        <v>110409.07</v>
      </c>
      <c r="E198" s="127">
        <v>75648.69</v>
      </c>
      <c r="F198" s="127">
        <v>60901.13</v>
      </c>
      <c r="G198" s="127">
        <v>80852.09</v>
      </c>
      <c r="H198" s="127">
        <v>185004.11</v>
      </c>
      <c r="I198" s="127">
        <v>181673.17</v>
      </c>
      <c r="J198" s="127">
        <v>152200.57999999999</v>
      </c>
      <c r="K198" s="127">
        <v>165910.10999999999</v>
      </c>
      <c r="L198" s="127">
        <v>112211.17</v>
      </c>
      <c r="M198" s="127">
        <v>62279.59</v>
      </c>
      <c r="N198" s="127">
        <v>91816.79</v>
      </c>
      <c r="O198" s="125">
        <f t="shared" si="32"/>
        <v>1412952.09</v>
      </c>
    </row>
    <row r="199" spans="1:15" s="57" customFormat="1" ht="12.75" x14ac:dyDescent="0.2">
      <c r="A199" s="91" t="s">
        <v>99</v>
      </c>
      <c r="B199" s="54"/>
      <c r="C199" s="127">
        <v>55197.49</v>
      </c>
      <c r="D199" s="127">
        <v>74722.78</v>
      </c>
      <c r="E199" s="127">
        <v>54316.46</v>
      </c>
      <c r="F199" s="127">
        <v>30958.240000000002</v>
      </c>
      <c r="G199" s="127">
        <v>133016.32000000001</v>
      </c>
      <c r="H199" s="127">
        <v>382567.43</v>
      </c>
      <c r="I199" s="127">
        <v>391423.51</v>
      </c>
      <c r="J199" s="127">
        <v>347283.38</v>
      </c>
      <c r="K199" s="127">
        <v>304219.96000000002</v>
      </c>
      <c r="L199" s="127">
        <v>115188.73</v>
      </c>
      <c r="M199" s="127">
        <v>35222.080000000002</v>
      </c>
      <c r="N199" s="127">
        <v>24486.53</v>
      </c>
      <c r="O199" s="125">
        <f t="shared" si="32"/>
        <v>1948602.91</v>
      </c>
    </row>
    <row r="200" spans="1:15" s="57" customFormat="1" ht="12.75" x14ac:dyDescent="0.2">
      <c r="A200" s="53" t="s">
        <v>101</v>
      </c>
      <c r="B200" s="54"/>
      <c r="C200" s="125">
        <f>SUM(C195:C199)</f>
        <v>482578.15</v>
      </c>
      <c r="D200" s="125">
        <f t="shared" ref="D200:N200" si="33">SUM(D195:D199)</f>
        <v>442716.25</v>
      </c>
      <c r="E200" s="125">
        <f t="shared" si="33"/>
        <v>304199.89</v>
      </c>
      <c r="F200" s="125">
        <f t="shared" si="33"/>
        <v>233733.88</v>
      </c>
      <c r="G200" s="125">
        <f t="shared" si="33"/>
        <v>358480.62</v>
      </c>
      <c r="H200" s="125">
        <f t="shared" si="33"/>
        <v>1025993.01</v>
      </c>
      <c r="I200" s="125">
        <f t="shared" si="33"/>
        <v>1101413.21</v>
      </c>
      <c r="J200" s="125">
        <f t="shared" si="33"/>
        <v>1007908</v>
      </c>
      <c r="K200" s="125">
        <f t="shared" si="33"/>
        <v>954228.69</v>
      </c>
      <c r="L200" s="125">
        <f t="shared" si="33"/>
        <v>506849.69999999995</v>
      </c>
      <c r="M200" s="125">
        <f t="shared" si="33"/>
        <v>215337.63</v>
      </c>
      <c r="N200" s="125">
        <f t="shared" si="33"/>
        <v>309518.92999999993</v>
      </c>
      <c r="O200" s="125">
        <f t="shared" si="32"/>
        <v>6942957.959999999</v>
      </c>
    </row>
    <row r="201" spans="1:15" s="57" customFormat="1" ht="12.75" x14ac:dyDescent="0.2">
      <c r="A201" s="53" t="s">
        <v>80</v>
      </c>
      <c r="B201" s="54"/>
      <c r="C201" s="119">
        <f>C200/$O200</f>
        <v>6.9506131648822495E-2</v>
      </c>
      <c r="D201" s="119">
        <f t="shared" ref="D201:O201" si="34">D200/$O200</f>
        <v>6.3764789092860943E-2</v>
      </c>
      <c r="E201" s="119">
        <f t="shared" si="34"/>
        <v>4.3814162746277099E-2</v>
      </c>
      <c r="F201" s="119">
        <f t="shared" si="34"/>
        <v>3.3664884815174663E-2</v>
      </c>
      <c r="G201" s="119">
        <f t="shared" si="34"/>
        <v>5.1632261359681346E-2</v>
      </c>
      <c r="H201" s="119">
        <f t="shared" si="34"/>
        <v>0.14777462515414685</v>
      </c>
      <c r="I201" s="119">
        <f t="shared" si="34"/>
        <v>0.15863745918461533</v>
      </c>
      <c r="J201" s="119">
        <f t="shared" si="34"/>
        <v>0.14516982614712537</v>
      </c>
      <c r="K201" s="119">
        <f t="shared" si="34"/>
        <v>0.13743835055570466</v>
      </c>
      <c r="L201" s="119">
        <f t="shared" si="34"/>
        <v>7.3001983148980501E-2</v>
      </c>
      <c r="M201" s="119">
        <f t="shared" si="34"/>
        <v>3.1015257652517895E-2</v>
      </c>
      <c r="N201" s="119">
        <f t="shared" si="34"/>
        <v>4.4580268494092967E-2</v>
      </c>
      <c r="O201" s="119">
        <f t="shared" si="34"/>
        <v>1</v>
      </c>
    </row>
    <row r="202" spans="1:15" s="57" customFormat="1" ht="12.75" x14ac:dyDescent="0.2">
      <c r="A202" s="63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</row>
    <row r="203" spans="1:15" s="57" customFormat="1" ht="12.75" x14ac:dyDescent="0.2">
      <c r="A203" s="91" t="s">
        <v>65</v>
      </c>
      <c r="B203" s="54"/>
      <c r="C203" s="127">
        <v>0</v>
      </c>
      <c r="D203" s="127">
        <v>0</v>
      </c>
      <c r="E203" s="127">
        <v>0</v>
      </c>
      <c r="F203" s="127">
        <v>0</v>
      </c>
      <c r="G203" s="127">
        <v>0</v>
      </c>
      <c r="H203" s="127">
        <v>0</v>
      </c>
      <c r="I203" s="127">
        <v>0</v>
      </c>
      <c r="J203" s="127">
        <v>0</v>
      </c>
      <c r="K203" s="127">
        <v>0</v>
      </c>
      <c r="L203" s="127">
        <v>0</v>
      </c>
      <c r="M203" s="127">
        <v>0</v>
      </c>
      <c r="N203" s="127">
        <v>0</v>
      </c>
      <c r="O203" s="125">
        <v>0</v>
      </c>
    </row>
    <row r="204" spans="1:15" s="57" customFormat="1" ht="12.75" x14ac:dyDescent="0.2">
      <c r="A204" s="91" t="s">
        <v>64</v>
      </c>
      <c r="B204" s="54"/>
      <c r="C204" s="127">
        <v>169335.04000000001</v>
      </c>
      <c r="D204" s="127">
        <v>152223.76999999999</v>
      </c>
      <c r="E204" s="127"/>
      <c r="F204" s="127">
        <v>0</v>
      </c>
      <c r="G204" s="127">
        <v>0</v>
      </c>
      <c r="H204" s="127">
        <v>0</v>
      </c>
      <c r="I204" s="127">
        <v>0</v>
      </c>
      <c r="J204" s="127">
        <v>0</v>
      </c>
      <c r="K204" s="127">
        <v>0</v>
      </c>
      <c r="L204" s="127">
        <v>0</v>
      </c>
      <c r="M204" s="127">
        <v>0</v>
      </c>
      <c r="N204" s="127">
        <v>0</v>
      </c>
      <c r="O204" s="125">
        <f>SUM(C204:N204)</f>
        <v>321558.81</v>
      </c>
    </row>
    <row r="205" spans="1:15" s="57" customFormat="1" ht="12.75" x14ac:dyDescent="0.2">
      <c r="A205" s="91" t="s">
        <v>63</v>
      </c>
      <c r="B205" s="54"/>
      <c r="C205" s="127">
        <v>119798.5</v>
      </c>
      <c r="D205" s="127">
        <v>109747.83</v>
      </c>
      <c r="E205" s="127">
        <v>0</v>
      </c>
      <c r="F205" s="127">
        <v>0</v>
      </c>
      <c r="G205" s="127">
        <v>0</v>
      </c>
      <c r="H205" s="127">
        <v>0</v>
      </c>
      <c r="I205" s="127">
        <v>0</v>
      </c>
      <c r="J205" s="127">
        <v>0</v>
      </c>
      <c r="K205" s="127">
        <v>0</v>
      </c>
      <c r="L205" s="127">
        <v>0</v>
      </c>
      <c r="M205" s="127">
        <v>0</v>
      </c>
      <c r="N205" s="127">
        <v>0</v>
      </c>
      <c r="O205" s="125">
        <f>SUM(C205:N205)</f>
        <v>229546.33000000002</v>
      </c>
    </row>
    <row r="206" spans="1:15" s="57" customFormat="1" ht="12.75" x14ac:dyDescent="0.2">
      <c r="A206" s="91" t="s">
        <v>62</v>
      </c>
      <c r="B206" s="54"/>
      <c r="C206" s="127">
        <v>133682.85</v>
      </c>
      <c r="D206" s="127">
        <v>103687.83</v>
      </c>
      <c r="E206" s="127">
        <v>0</v>
      </c>
      <c r="F206" s="127">
        <v>0</v>
      </c>
      <c r="G206" s="127">
        <v>0</v>
      </c>
      <c r="H206" s="127">
        <v>0</v>
      </c>
      <c r="I206" s="127">
        <v>0</v>
      </c>
      <c r="J206" s="127">
        <v>0</v>
      </c>
      <c r="K206" s="127">
        <v>0</v>
      </c>
      <c r="L206" s="127">
        <v>0</v>
      </c>
      <c r="M206" s="127">
        <v>0</v>
      </c>
      <c r="N206" s="127">
        <v>0</v>
      </c>
      <c r="O206" s="125">
        <f t="shared" ref="O206:O208" si="35">SUM(C206:N206)</f>
        <v>237370.68</v>
      </c>
    </row>
    <row r="207" spans="1:15" s="57" customFormat="1" ht="12.75" x14ac:dyDescent="0.2">
      <c r="A207" s="91" t="s">
        <v>99</v>
      </c>
      <c r="B207" s="54"/>
      <c r="C207" s="127">
        <v>103076.73</v>
      </c>
      <c r="D207" s="127">
        <v>47265.72</v>
      </c>
      <c r="E207" s="127">
        <v>0</v>
      </c>
      <c r="F207" s="127">
        <v>0</v>
      </c>
      <c r="G207" s="127">
        <v>0</v>
      </c>
      <c r="H207" s="127">
        <v>0</v>
      </c>
      <c r="I207" s="127">
        <v>0</v>
      </c>
      <c r="J207" s="127">
        <v>0</v>
      </c>
      <c r="K207" s="127">
        <v>0</v>
      </c>
      <c r="L207" s="127">
        <v>0</v>
      </c>
      <c r="M207" s="127">
        <v>0</v>
      </c>
      <c r="N207" s="127">
        <v>0</v>
      </c>
      <c r="O207" s="125">
        <f t="shared" si="35"/>
        <v>150342.45000000001</v>
      </c>
    </row>
    <row r="208" spans="1:15" s="57" customFormat="1" ht="12.75" x14ac:dyDescent="0.2">
      <c r="A208" s="53" t="s">
        <v>119</v>
      </c>
      <c r="B208" s="54"/>
      <c r="C208" s="125">
        <f>SUM(C203:C207)</f>
        <v>525893.12</v>
      </c>
      <c r="D208" s="125">
        <f t="shared" ref="D208:N208" si="36">SUM(D203:D207)</f>
        <v>412925.15</v>
      </c>
      <c r="E208" s="125">
        <f t="shared" si="36"/>
        <v>0</v>
      </c>
      <c r="F208" s="125">
        <f t="shared" si="36"/>
        <v>0</v>
      </c>
      <c r="G208" s="125">
        <f t="shared" si="36"/>
        <v>0</v>
      </c>
      <c r="H208" s="125">
        <f t="shared" si="36"/>
        <v>0</v>
      </c>
      <c r="I208" s="125">
        <f t="shared" si="36"/>
        <v>0</v>
      </c>
      <c r="J208" s="125">
        <f t="shared" si="36"/>
        <v>0</v>
      </c>
      <c r="K208" s="125">
        <f t="shared" si="36"/>
        <v>0</v>
      </c>
      <c r="L208" s="125">
        <f t="shared" si="36"/>
        <v>0</v>
      </c>
      <c r="M208" s="125">
        <f t="shared" si="36"/>
        <v>0</v>
      </c>
      <c r="N208" s="125">
        <f t="shared" si="36"/>
        <v>0</v>
      </c>
      <c r="O208" s="125">
        <f t="shared" si="35"/>
        <v>938818.27</v>
      </c>
    </row>
    <row r="209" spans="1:17" s="57" customFormat="1" ht="12.75" x14ac:dyDescent="0.2">
      <c r="A209" s="53" t="s">
        <v>80</v>
      </c>
      <c r="B209" s="54"/>
      <c r="C209" s="119">
        <f>C208/$O208</f>
        <v>0.56016498272876603</v>
      </c>
      <c r="D209" s="119">
        <f>D208/$O208</f>
        <v>0.43983501727123397</v>
      </c>
      <c r="E209" s="119">
        <f t="shared" ref="E209:O209" si="37">E208/$O208</f>
        <v>0</v>
      </c>
      <c r="F209" s="119">
        <f t="shared" si="37"/>
        <v>0</v>
      </c>
      <c r="G209" s="119">
        <f t="shared" si="37"/>
        <v>0</v>
      </c>
      <c r="H209" s="119">
        <f t="shared" si="37"/>
        <v>0</v>
      </c>
      <c r="I209" s="119">
        <f t="shared" si="37"/>
        <v>0</v>
      </c>
      <c r="J209" s="119">
        <f t="shared" si="37"/>
        <v>0</v>
      </c>
      <c r="K209" s="119">
        <f t="shared" si="37"/>
        <v>0</v>
      </c>
      <c r="L209" s="119">
        <f t="shared" si="37"/>
        <v>0</v>
      </c>
      <c r="M209" s="119">
        <f t="shared" si="37"/>
        <v>0</v>
      </c>
      <c r="N209" s="119">
        <f t="shared" si="37"/>
        <v>0</v>
      </c>
      <c r="O209" s="119">
        <f t="shared" si="37"/>
        <v>1</v>
      </c>
    </row>
    <row r="210" spans="1:17" s="57" customFormat="1" ht="12.75" x14ac:dyDescent="0.2">
      <c r="A210" s="63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</row>
    <row r="211" spans="1:17" s="66" customFormat="1" ht="12.75" x14ac:dyDescent="0.2">
      <c r="A211" s="65" t="s">
        <v>42</v>
      </c>
      <c r="C211" s="97">
        <f>IF(C208=0,0,(C208-C200)/C200)</f>
        <v>8.9757420637465599E-2</v>
      </c>
      <c r="D211" s="97">
        <f>IF(D208=0,0,(D208-D200)/D200)</f>
        <v>-6.7291634314303975E-2</v>
      </c>
      <c r="E211" s="177">
        <f t="shared" ref="E211:O211" si="38">IF(E200=0,0,(E200-E192)/E192)</f>
        <v>-6.8536593909611129E-2</v>
      </c>
      <c r="F211" s="177">
        <f t="shared" si="38"/>
        <v>-6.5847673310696311E-2</v>
      </c>
      <c r="G211" s="177">
        <f t="shared" si="38"/>
        <v>-5.2384530315236509E-2</v>
      </c>
      <c r="H211" s="177">
        <f t="shared" si="38"/>
        <v>0.18269643159611873</v>
      </c>
      <c r="I211" s="177">
        <f t="shared" si="38"/>
        <v>5.9703696391508757E-2</v>
      </c>
      <c r="J211" s="177">
        <f t="shared" si="38"/>
        <v>-5.7265093024907614E-2</v>
      </c>
      <c r="K211" s="177">
        <f t="shared" si="38"/>
        <v>4.6128941568603192E-2</v>
      </c>
      <c r="L211" s="177">
        <f t="shared" si="38"/>
        <v>1.0798912520522268E-2</v>
      </c>
      <c r="M211" s="177">
        <f t="shared" si="38"/>
        <v>-0.11810925687498611</v>
      </c>
      <c r="N211" s="177">
        <f t="shared" si="38"/>
        <v>0.10869885651244419</v>
      </c>
      <c r="O211" s="177">
        <f t="shared" si="38"/>
        <v>3.448614005091058E-2</v>
      </c>
      <c r="P211"/>
      <c r="Q211"/>
    </row>
    <row r="212" spans="1:17" ht="12.75" x14ac:dyDescent="0.2">
      <c r="I212" s="72"/>
    </row>
    <row r="213" spans="1:17" ht="12.75" x14ac:dyDescent="0.2">
      <c r="A213" s="47" t="s">
        <v>57</v>
      </c>
      <c r="B213" s="48"/>
      <c r="C213" s="73">
        <f t="shared" ref="C213:O213" si="39">AVERAGE(C192,C184,C200)</f>
        <v>463542.88999999996</v>
      </c>
      <c r="D213" s="73">
        <f t="shared" si="39"/>
        <v>404251.05</v>
      </c>
      <c r="E213" s="73">
        <f t="shared" si="39"/>
        <v>311627.9266666667</v>
      </c>
      <c r="F213" s="73">
        <f t="shared" si="39"/>
        <v>234464.82333333333</v>
      </c>
      <c r="G213" s="73">
        <f t="shared" si="39"/>
        <v>389361.92666666658</v>
      </c>
      <c r="H213" s="73">
        <f t="shared" si="39"/>
        <v>994553.99000000011</v>
      </c>
      <c r="I213" s="73">
        <f t="shared" si="39"/>
        <v>1092675.8033333335</v>
      </c>
      <c r="J213" s="73">
        <f t="shared" si="39"/>
        <v>1022484.98</v>
      </c>
      <c r="K213" s="73">
        <f t="shared" si="39"/>
        <v>877397.11333333328</v>
      </c>
      <c r="L213" s="73">
        <f t="shared" si="39"/>
        <v>554726.51</v>
      </c>
      <c r="M213" s="73">
        <f t="shared" si="39"/>
        <v>261606.65333333332</v>
      </c>
      <c r="N213" s="73">
        <f t="shared" si="39"/>
        <v>293597.33333333331</v>
      </c>
      <c r="O213" s="73">
        <f t="shared" si="39"/>
        <v>6900291</v>
      </c>
    </row>
    <row r="214" spans="1:17" ht="12.75" x14ac:dyDescent="0.2">
      <c r="A214" s="71" t="s">
        <v>49</v>
      </c>
      <c r="B214" s="48"/>
      <c r="C214" s="162">
        <f>C213/$O213</f>
        <v>6.7177295856073307E-2</v>
      </c>
      <c r="D214" s="162">
        <f>D213/$O213</f>
        <v>5.8584637952225495E-2</v>
      </c>
      <c r="E214" s="162">
        <f>E213/$O213</f>
        <v>4.5161562993019669E-2</v>
      </c>
      <c r="F214" s="162">
        <f t="shared" ref="F214:N214" si="40">F213/$O213</f>
        <v>3.3978976152358405E-2</v>
      </c>
      <c r="G214" s="162">
        <f t="shared" si="40"/>
        <v>5.6426884991758547E-2</v>
      </c>
      <c r="H214" s="162">
        <f t="shared" si="40"/>
        <v>0.14413218080222995</v>
      </c>
      <c r="I214" s="162">
        <f t="shared" si="40"/>
        <v>0.15835213374817575</v>
      </c>
      <c r="J214" s="162">
        <f t="shared" si="40"/>
        <v>0.14817997965593044</v>
      </c>
      <c r="K214" s="162">
        <f t="shared" si="40"/>
        <v>0.12715363936583737</v>
      </c>
      <c r="L214" s="162">
        <f t="shared" si="40"/>
        <v>8.0391755941887091E-2</v>
      </c>
      <c r="M214" s="162">
        <f t="shared" si="40"/>
        <v>3.7912408814835971E-2</v>
      </c>
      <c r="N214" s="162">
        <f t="shared" si="40"/>
        <v>4.2548543725667992E-2</v>
      </c>
      <c r="O214" s="162">
        <f>SUM(C214:N214)</f>
        <v>0.99999999999999989</v>
      </c>
    </row>
    <row r="215" spans="1:17" ht="12.75" x14ac:dyDescent="0.2">
      <c r="A215" s="47" t="s">
        <v>41</v>
      </c>
      <c r="B215" s="48"/>
      <c r="C215" s="162">
        <f>C213/O213</f>
        <v>6.7177295856073307E-2</v>
      </c>
      <c r="D215" s="162">
        <f>SUM(C213:D213)/O213</f>
        <v>0.12576193380829881</v>
      </c>
      <c r="E215" s="162">
        <f>SUM(C213:E213)/O213</f>
        <v>0.17092349680131849</v>
      </c>
      <c r="F215" s="162">
        <f>SUM(C213:F213)/O213</f>
        <v>0.20490247295367686</v>
      </c>
      <c r="G215" s="162">
        <f>SUM(C213:G213)/O213</f>
        <v>0.26132935794543544</v>
      </c>
      <c r="H215" s="162">
        <f>SUM(C213:H213)/O213</f>
        <v>0.40546153874766533</v>
      </c>
      <c r="I215" s="162">
        <f>SUM(C213:I213)/O213</f>
        <v>0.56381367249584113</v>
      </c>
      <c r="J215" s="162">
        <f>SUM(C213:J213)/O213</f>
        <v>0.71199365215177168</v>
      </c>
      <c r="K215" s="162">
        <f>SUM(C213:K213)/O213</f>
        <v>0.83914729151760903</v>
      </c>
      <c r="L215" s="162">
        <f>SUM(C213:L213)/O213</f>
        <v>0.91953904745949611</v>
      </c>
      <c r="M215" s="162">
        <f>SUM(C213:M213)/O213</f>
        <v>0.95745145627433204</v>
      </c>
      <c r="N215" s="162">
        <f>SUM(C213:N213)/O213</f>
        <v>1</v>
      </c>
      <c r="O215" s="50"/>
    </row>
    <row r="216" spans="1:17" s="167" customFormat="1" ht="12.75" hidden="1" x14ac:dyDescent="0.2">
      <c r="A216" s="166"/>
    </row>
    <row r="217" spans="1:17" s="167" customFormat="1" ht="12.75" hidden="1" x14ac:dyDescent="0.2">
      <c r="A217" s="159" t="s">
        <v>39</v>
      </c>
      <c r="B217" s="160"/>
      <c r="C217" s="161" t="e">
        <f>#REF!</f>
        <v>#REF!</v>
      </c>
      <c r="D217" s="161" t="e">
        <f>C217+#REF!</f>
        <v>#REF!</v>
      </c>
      <c r="E217" s="161" t="e">
        <f>D217+#REF!</f>
        <v>#REF!</v>
      </c>
      <c r="F217" s="161" t="e">
        <f>E217+#REF!</f>
        <v>#REF!</v>
      </c>
      <c r="G217" s="161" t="e">
        <f>F217+#REF!</f>
        <v>#REF!</v>
      </c>
      <c r="H217" s="161" t="e">
        <f>G217+#REF!</f>
        <v>#REF!</v>
      </c>
      <c r="I217" s="160"/>
      <c r="J217" s="160"/>
      <c r="K217" s="160"/>
      <c r="L217" s="160"/>
      <c r="M217" s="160"/>
      <c r="N217" s="160"/>
      <c r="O217" s="161" t="e">
        <f>SUM(C217:N217)</f>
        <v>#REF!</v>
      </c>
    </row>
    <row r="218" spans="1:17" s="167" customFormat="1" ht="12.75" hidden="1" x14ac:dyDescent="0.2">
      <c r="A218" s="166"/>
    </row>
    <row r="219" spans="1:17" ht="12.75" x14ac:dyDescent="0.2">
      <c r="A219" s="47" t="s">
        <v>117</v>
      </c>
      <c r="B219" s="48"/>
      <c r="C219" s="73">
        <f t="shared" ref="C219:N219" si="41">AVERAGE(C192,C184,C200,C176,C168)</f>
        <v>462233.576</v>
      </c>
      <c r="D219" s="73">
        <f t="shared" si="41"/>
        <v>399694.51799999998</v>
      </c>
      <c r="E219" s="73">
        <f t="shared" si="41"/>
        <v>261786.74799999999</v>
      </c>
      <c r="F219" s="73">
        <f t="shared" si="41"/>
        <v>211621.67599999998</v>
      </c>
      <c r="G219" s="73">
        <f t="shared" si="41"/>
        <v>368029.39799999993</v>
      </c>
      <c r="H219" s="73">
        <f t="shared" si="41"/>
        <v>832702.71600000001</v>
      </c>
      <c r="I219" s="73">
        <f t="shared" si="41"/>
        <v>928877.7300000001</v>
      </c>
      <c r="J219" s="73">
        <f t="shared" si="41"/>
        <v>942628.86999999988</v>
      </c>
      <c r="K219" s="73">
        <f t="shared" si="41"/>
        <v>835292.83400000003</v>
      </c>
      <c r="L219" s="73">
        <f t="shared" si="41"/>
        <v>508122.36200000002</v>
      </c>
      <c r="M219" s="73">
        <f t="shared" si="41"/>
        <v>246465.81800000003</v>
      </c>
      <c r="N219" s="73">
        <f t="shared" si="41"/>
        <v>305065.54599999997</v>
      </c>
      <c r="O219" s="73">
        <f>AVERAGE(O200,O192,O184,O176,O168)</f>
        <v>6302521.7920000004</v>
      </c>
    </row>
    <row r="220" spans="1:17" ht="12.75" x14ac:dyDescent="0.2">
      <c r="A220" s="71" t="s">
        <v>49</v>
      </c>
      <c r="B220" s="48"/>
      <c r="C220" s="162">
        <f>C219/$O219</f>
        <v>7.3341051606791482E-2</v>
      </c>
      <c r="D220" s="162">
        <f>D219/$O219</f>
        <v>6.341818897117428E-2</v>
      </c>
      <c r="E220" s="162">
        <f>E219/$O219</f>
        <v>4.1536825518365454E-2</v>
      </c>
      <c r="F220" s="162">
        <f t="shared" ref="F220:N220" si="42">F219/$O219</f>
        <v>3.3577301750645015E-2</v>
      </c>
      <c r="G220" s="162">
        <f t="shared" si="42"/>
        <v>5.839399055583621E-2</v>
      </c>
      <c r="H220" s="162">
        <f t="shared" si="42"/>
        <v>0.13212214784516527</v>
      </c>
      <c r="I220" s="162">
        <f t="shared" si="42"/>
        <v>0.14738191483590829</v>
      </c>
      <c r="J220" s="162">
        <f t="shared" si="42"/>
        <v>0.1495637621113044</v>
      </c>
      <c r="K220" s="162">
        <f t="shared" si="42"/>
        <v>0.13253311318340302</v>
      </c>
      <c r="L220" s="162">
        <f t="shared" si="42"/>
        <v>8.0622071413537444E-2</v>
      </c>
      <c r="M220" s="162">
        <f t="shared" si="42"/>
        <v>3.9105904927270105E-2</v>
      </c>
      <c r="N220" s="162">
        <f t="shared" si="42"/>
        <v>4.8403727280598975E-2</v>
      </c>
      <c r="O220" s="162">
        <f>SUM(C220:N220)</f>
        <v>0.99999999999999978</v>
      </c>
    </row>
    <row r="221" spans="1:17" ht="12.75" x14ac:dyDescent="0.2">
      <c r="A221" s="47" t="s">
        <v>41</v>
      </c>
      <c r="B221" s="48"/>
      <c r="C221" s="162">
        <f>C219/O219</f>
        <v>7.3341051606791482E-2</v>
      </c>
      <c r="D221" s="162">
        <f>SUM(C219:D219)/O219</f>
        <v>0.13675924057796579</v>
      </c>
      <c r="E221" s="162">
        <f>SUM(C219:E219)/O219</f>
        <v>0.17829606609633122</v>
      </c>
      <c r="F221" s="162">
        <f>SUM(C219:F219)/O219</f>
        <v>0.21187336784697625</v>
      </c>
      <c r="G221" s="162">
        <f>SUM(C219:G219)/O219</f>
        <v>0.27026735840281241</v>
      </c>
      <c r="H221" s="162">
        <f>SUM(C219:H219)/O219</f>
        <v>0.4023895062479777</v>
      </c>
      <c r="I221" s="162">
        <f>SUM(C219:I219)/O219</f>
        <v>0.54977142108388599</v>
      </c>
      <c r="J221" s="162">
        <f>SUM(C219:J219)/O219</f>
        <v>0.69933518319519039</v>
      </c>
      <c r="K221" s="162">
        <f>SUM(C219:K219)/O219</f>
        <v>0.83186829637859339</v>
      </c>
      <c r="L221" s="162">
        <f>SUM(C219:L219)/O219</f>
        <v>0.91249036779213077</v>
      </c>
      <c r="M221" s="162">
        <f>SUM(C219:M219)/O219</f>
        <v>0.95159627271940084</v>
      </c>
      <c r="N221" s="162">
        <f>SUM(C219:N219)/O219</f>
        <v>0.99999999999999989</v>
      </c>
      <c r="O221" s="50"/>
    </row>
    <row r="222" spans="1:17" s="167" customFormat="1" ht="12.75" x14ac:dyDescent="0.2">
      <c r="A222" s="178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 s="176"/>
      <c r="P222"/>
      <c r="Q222"/>
    </row>
    <row r="223" spans="1:17" s="167" customFormat="1" ht="15.75" x14ac:dyDescent="0.25">
      <c r="A223" s="36" t="s">
        <v>127</v>
      </c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8"/>
      <c r="P223"/>
      <c r="Q223"/>
    </row>
    <row r="224" spans="1:17" s="167" customFormat="1" ht="12.75" x14ac:dyDescent="0.2">
      <c r="A224" s="29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26" s="167" customFormat="1" ht="12.75" x14ac:dyDescent="0.2">
      <c r="A225" s="63" t="s">
        <v>120</v>
      </c>
      <c r="B225"/>
      <c r="C225"/>
      <c r="D225" s="56">
        <v>7400000</v>
      </c>
      <c r="E225" s="57"/>
      <c r="F225"/>
      <c r="G225"/>
      <c r="H225"/>
      <c r="I225" s="9"/>
      <c r="J225"/>
      <c r="K225" s="1"/>
      <c r="L225"/>
      <c r="M225"/>
      <c r="N225" s="1"/>
      <c r="O225"/>
      <c r="P225"/>
      <c r="Q225"/>
    </row>
    <row r="226" spans="1:26" s="167" customFormat="1" ht="12.75" x14ac:dyDescent="0.2">
      <c r="A226" s="68" t="s">
        <v>98</v>
      </c>
      <c r="B226"/>
      <c r="C226"/>
      <c r="D226" s="69">
        <f>-D225*0.02</f>
        <v>-148000</v>
      </c>
      <c r="E226" s="171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26" s="167" customFormat="1" ht="12.75" x14ac:dyDescent="0.2">
      <c r="A227" s="74" t="s">
        <v>59</v>
      </c>
      <c r="B227"/>
      <c r="C227"/>
      <c r="D227" s="56">
        <f>SUM(D225:D226)</f>
        <v>7252000</v>
      </c>
      <c r="E227" s="171"/>
      <c r="F227"/>
      <c r="G227"/>
      <c r="H227"/>
      <c r="I227"/>
      <c r="J227" s="179"/>
      <c r="K227"/>
      <c r="L227"/>
      <c r="M227"/>
      <c r="N227"/>
      <c r="O227"/>
      <c r="P227"/>
      <c r="Q227"/>
    </row>
    <row r="228" spans="1:26" s="167" customFormat="1" ht="13.5" thickBot="1" x14ac:dyDescent="0.25">
      <c r="A228" s="29"/>
      <c r="B228"/>
      <c r="C228"/>
      <c r="D228"/>
      <c r="E228"/>
      <c r="F228"/>
      <c r="G228"/>
      <c r="H228" s="173"/>
      <c r="I228" s="1"/>
      <c r="J228" s="1"/>
      <c r="K228"/>
      <c r="L228" s="1"/>
      <c r="M228"/>
      <c r="N228" s="1"/>
      <c r="O228" s="173"/>
      <c r="P228"/>
      <c r="Q228"/>
    </row>
    <row r="229" spans="1:26" s="169" customFormat="1" ht="13.5" thickBot="1" x14ac:dyDescent="0.25">
      <c r="A229" s="180" t="s">
        <v>121</v>
      </c>
      <c r="B229" s="85"/>
      <c r="C229" s="152"/>
      <c r="D229" s="85" t="s">
        <v>58</v>
      </c>
      <c r="E229" s="181">
        <f>SUM(C231:E231)</f>
        <v>1417341.1725569034</v>
      </c>
      <c r="F229" s="85"/>
      <c r="G229" s="85" t="s">
        <v>58</v>
      </c>
      <c r="H229" s="181">
        <f>SUM(F231:H231)</f>
        <v>1537830.6982439265</v>
      </c>
      <c r="I229" s="85"/>
      <c r="J229" s="85" t="s">
        <v>58</v>
      </c>
      <c r="K229" s="181">
        <f>SUM(I231:K231)</f>
        <v>3234915.7060813294</v>
      </c>
      <c r="L229" s="85"/>
      <c r="M229" s="85" t="s">
        <v>58</v>
      </c>
      <c r="N229" s="153">
        <f>SUM(L231:N231)</f>
        <v>1209912.4231178409</v>
      </c>
      <c r="O229" s="209">
        <f>SUM(C229:N229)</f>
        <v>7400000</v>
      </c>
      <c r="P229" s="57"/>
      <c r="Q229" s="57"/>
    </row>
    <row r="230" spans="1:26" s="169" customFormat="1" ht="13.5" thickBot="1" x14ac:dyDescent="0.25">
      <c r="A230" s="86"/>
      <c r="B230" s="57"/>
      <c r="C230" s="143" t="s">
        <v>7</v>
      </c>
      <c r="D230" s="146" t="s">
        <v>8</v>
      </c>
      <c r="E230" s="146" t="s">
        <v>9</v>
      </c>
      <c r="F230" s="146" t="s">
        <v>10</v>
      </c>
      <c r="G230" s="146" t="s">
        <v>11</v>
      </c>
      <c r="H230" s="146" t="s">
        <v>12</v>
      </c>
      <c r="I230" s="146" t="s">
        <v>1</v>
      </c>
      <c r="J230" s="146" t="s">
        <v>2</v>
      </c>
      <c r="K230" s="146" t="s">
        <v>3</v>
      </c>
      <c r="L230" s="146" t="s">
        <v>4</v>
      </c>
      <c r="M230" s="146" t="s">
        <v>5</v>
      </c>
      <c r="N230" s="146" t="s">
        <v>6</v>
      </c>
      <c r="O230" s="148" t="s">
        <v>16</v>
      </c>
      <c r="P230" s="57"/>
      <c r="Q230" s="57"/>
    </row>
    <row r="231" spans="1:26" s="169" customFormat="1" ht="13.5" thickBot="1" x14ac:dyDescent="0.25">
      <c r="A231" s="183"/>
      <c r="B231" s="164"/>
      <c r="C231" s="202">
        <f>C232*D225</f>
        <v>581689.07209007826</v>
      </c>
      <c r="D231" s="202">
        <f>D232*D225</f>
        <v>490881.7138263227</v>
      </c>
      <c r="E231" s="202">
        <f>E232*D225</f>
        <v>344770.38664050243</v>
      </c>
      <c r="F231" s="202">
        <f>F232*D225</f>
        <v>258351.1430949652</v>
      </c>
      <c r="G231" s="202">
        <f>G232*D225</f>
        <v>286204.69322911504</v>
      </c>
      <c r="H231" s="202">
        <f>H232*D225</f>
        <v>993274.86191984627</v>
      </c>
      <c r="I231" s="202">
        <f>I232*D225</f>
        <v>1191502.7420996323</v>
      </c>
      <c r="J231" s="202">
        <f>J232*D225</f>
        <v>1102076.0859927118</v>
      </c>
      <c r="K231" s="202">
        <f>K232*D225</f>
        <v>941336.87798898539</v>
      </c>
      <c r="L231" s="202">
        <f>L232*D225</f>
        <v>606349.21035137319</v>
      </c>
      <c r="M231" s="202">
        <f>M232*D225</f>
        <v>265949.68945219036</v>
      </c>
      <c r="N231" s="202">
        <f>N232*D225</f>
        <v>337613.52331427735</v>
      </c>
      <c r="O231" s="207">
        <f>SUM(C231:N231)</f>
        <v>7400000</v>
      </c>
      <c r="P231" s="57"/>
      <c r="Q231" s="57"/>
      <c r="R231" s="170">
        <v>150000</v>
      </c>
      <c r="S231" s="170">
        <v>160000</v>
      </c>
      <c r="T231" s="170">
        <v>630000</v>
      </c>
      <c r="U231" s="170">
        <v>550000</v>
      </c>
      <c r="V231" s="170">
        <v>490000</v>
      </c>
      <c r="W231" s="170">
        <v>450000</v>
      </c>
      <c r="X231" s="170">
        <v>375000</v>
      </c>
      <c r="Y231" s="170">
        <v>130000</v>
      </c>
      <c r="Z231" s="170">
        <v>200000</v>
      </c>
    </row>
    <row r="232" spans="1:26" s="169" customFormat="1" ht="13.5" thickBot="1" x14ac:dyDescent="0.25">
      <c r="A232" s="63"/>
      <c r="B232" s="57"/>
      <c r="C232" s="204">
        <v>7.8606631363524096E-2</v>
      </c>
      <c r="D232" s="204">
        <v>6.6335366733286855E-2</v>
      </c>
      <c r="E232" s="208">
        <v>4.6590592789257083E-2</v>
      </c>
      <c r="F232" s="204">
        <v>3.4912316634454758E-2</v>
      </c>
      <c r="G232" s="204">
        <v>3.8676309895826357E-2</v>
      </c>
      <c r="H232" s="204">
        <v>0.13422633269187112</v>
      </c>
      <c r="I232" s="204">
        <v>0.16101388406751788</v>
      </c>
      <c r="J232" s="204">
        <v>0.14892920080982591</v>
      </c>
      <c r="K232" s="204">
        <v>0.12720768621472775</v>
      </c>
      <c r="L232" s="204">
        <v>8.1939082479915298E-2</v>
      </c>
      <c r="M232" s="204">
        <v>3.593914722326897E-2</v>
      </c>
      <c r="N232" s="204">
        <v>4.5623449096523966E-2</v>
      </c>
      <c r="O232" s="205">
        <f>SUM(C232:N232)</f>
        <v>1.0000000000000002</v>
      </c>
      <c r="P232" s="57"/>
      <c r="Q232" s="57"/>
      <c r="R232" s="168"/>
      <c r="S232" s="168"/>
      <c r="T232" s="168"/>
      <c r="U232" s="168"/>
      <c r="V232" s="168"/>
      <c r="W232" s="168"/>
      <c r="X232" s="168"/>
      <c r="Y232" s="168"/>
      <c r="Z232" s="168"/>
    </row>
    <row r="233" spans="1:26" s="167" customFormat="1" ht="13.5" thickBot="1" x14ac:dyDescent="0.25">
      <c r="A233" s="29"/>
      <c r="B233"/>
      <c r="C233"/>
      <c r="D233"/>
      <c r="E233"/>
      <c r="F233"/>
      <c r="G233"/>
      <c r="H233" s="1"/>
      <c r="I233"/>
      <c r="J233"/>
      <c r="K233" s="1"/>
      <c r="L233"/>
      <c r="M233"/>
      <c r="N233"/>
      <c r="O233"/>
      <c r="P233" s="57"/>
      <c r="Q233" s="57"/>
    </row>
    <row r="234" spans="1:26" s="167" customFormat="1" ht="13.5" thickBot="1" x14ac:dyDescent="0.25">
      <c r="A234" s="29"/>
      <c r="B234"/>
      <c r="C234" s="143" t="s">
        <v>7</v>
      </c>
      <c r="D234" s="146" t="s">
        <v>8</v>
      </c>
      <c r="E234" s="146" t="s">
        <v>9</v>
      </c>
      <c r="F234" s="146" t="s">
        <v>10</v>
      </c>
      <c r="G234" s="146" t="s">
        <v>11</v>
      </c>
      <c r="H234" s="146" t="s">
        <v>12</v>
      </c>
      <c r="I234" s="146" t="s">
        <v>1</v>
      </c>
      <c r="J234" s="146" t="s">
        <v>2</v>
      </c>
      <c r="K234" s="146" t="s">
        <v>3</v>
      </c>
      <c r="L234" s="146" t="s">
        <v>4</v>
      </c>
      <c r="M234" s="146" t="s">
        <v>5</v>
      </c>
      <c r="N234" s="146" t="s">
        <v>6</v>
      </c>
      <c r="O234" s="148" t="s">
        <v>16</v>
      </c>
      <c r="P234"/>
      <c r="Q234" s="57"/>
    </row>
    <row r="235" spans="1:26" s="167" customFormat="1" ht="13.5" thickBot="1" x14ac:dyDescent="0.25">
      <c r="A235" s="63" t="s">
        <v>122</v>
      </c>
      <c r="B235"/>
      <c r="C235" s="197">
        <f t="shared" ref="C235:N235" si="43">IF(C208=0,0,C208)</f>
        <v>525893.12</v>
      </c>
      <c r="D235" s="197">
        <f>IF(D208=0,0,D208)</f>
        <v>412925.15</v>
      </c>
      <c r="E235" s="197">
        <f>IF(E208=0,0,E208)</f>
        <v>0</v>
      </c>
      <c r="F235" s="197">
        <f t="shared" si="43"/>
        <v>0</v>
      </c>
      <c r="G235" s="197">
        <f t="shared" si="43"/>
        <v>0</v>
      </c>
      <c r="H235" s="197">
        <f t="shared" si="43"/>
        <v>0</v>
      </c>
      <c r="I235" s="197">
        <f t="shared" si="43"/>
        <v>0</v>
      </c>
      <c r="J235" s="197">
        <f t="shared" si="43"/>
        <v>0</v>
      </c>
      <c r="K235" s="197">
        <f t="shared" si="43"/>
        <v>0</v>
      </c>
      <c r="L235" s="197">
        <f t="shared" si="43"/>
        <v>0</v>
      </c>
      <c r="M235" s="197">
        <f t="shared" si="43"/>
        <v>0</v>
      </c>
      <c r="N235" s="197">
        <f t="shared" si="43"/>
        <v>0</v>
      </c>
      <c r="O235" s="197">
        <f>IF(O200=0,0,O200)</f>
        <v>6942957.959999999</v>
      </c>
      <c r="P235"/>
      <c r="Q235" s="1"/>
    </row>
    <row r="236" spans="1:26" s="167" customFormat="1" ht="12.75" hidden="1" x14ac:dyDescent="0.2">
      <c r="A236" s="63" t="s">
        <v>50</v>
      </c>
      <c r="B236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 t="e">
        <f>#REF!</f>
        <v>#REF!</v>
      </c>
      <c r="M236" s="100" t="e">
        <f>#REF!</f>
        <v>#REF!</v>
      </c>
      <c r="N236" s="100" t="e">
        <f>#REF!</f>
        <v>#REF!</v>
      </c>
      <c r="O236" s="100" t="e">
        <f>SUM(C236:N236)</f>
        <v>#REF!</v>
      </c>
      <c r="P236"/>
      <c r="Q236"/>
    </row>
    <row r="237" spans="1:26" s="167" customFormat="1" ht="12.75" x14ac:dyDescent="0.2">
      <c r="A237" s="29"/>
      <c r="B237"/>
      <c r="C237"/>
      <c r="D237"/>
      <c r="E237"/>
      <c r="F237"/>
      <c r="G237"/>
      <c r="H237" s="1"/>
      <c r="I237"/>
      <c r="J237"/>
      <c r="K237" s="1"/>
      <c r="L237"/>
      <c r="M237"/>
      <c r="N237"/>
      <c r="O237"/>
      <c r="P237"/>
      <c r="Q237" s="95"/>
    </row>
    <row r="238" spans="1:26" s="167" customFormat="1" ht="12.75" hidden="1" x14ac:dyDescent="0.2">
      <c r="A238" s="29"/>
      <c r="B238"/>
      <c r="C238" s="182"/>
      <c r="D238" s="182"/>
      <c r="E238" s="182"/>
      <c r="F238" s="182"/>
      <c r="G238" s="182"/>
      <c r="H238" s="182"/>
      <c r="I238" s="182"/>
      <c r="J238" s="182"/>
      <c r="K238" s="182" t="s">
        <v>52</v>
      </c>
      <c r="L238" s="182" t="s">
        <v>53</v>
      </c>
      <c r="M238" s="182" t="s">
        <v>54</v>
      </c>
      <c r="N238" s="182" t="s">
        <v>55</v>
      </c>
      <c r="O238" s="184" t="s">
        <v>16</v>
      </c>
      <c r="P238"/>
      <c r="Q238"/>
    </row>
    <row r="239" spans="1:26" s="167" customFormat="1" ht="12.75" hidden="1" x14ac:dyDescent="0.2">
      <c r="A239" s="63" t="s">
        <v>51</v>
      </c>
      <c r="B239"/>
      <c r="C239" s="50"/>
      <c r="D239" s="185"/>
      <c r="E239" s="185"/>
      <c r="F239" s="77"/>
      <c r="G239" s="77"/>
      <c r="H239" s="77"/>
      <c r="I239" s="77"/>
      <c r="J239" s="77"/>
      <c r="K239" s="76">
        <v>550958</v>
      </c>
      <c r="L239" s="76"/>
      <c r="M239" s="50"/>
      <c r="N239" s="50"/>
      <c r="O239" s="50">
        <f>SUM(C239:N239)</f>
        <v>550958</v>
      </c>
      <c r="P239"/>
      <c r="Q239"/>
    </row>
    <row r="240" spans="1:26" s="167" customFormat="1" ht="13.5" thickBot="1" x14ac:dyDescent="0.25">
      <c r="A240" s="63" t="s">
        <v>123</v>
      </c>
      <c r="B240"/>
      <c r="C240"/>
      <c r="D240"/>
      <c r="E240"/>
      <c r="F240"/>
      <c r="G240"/>
      <c r="H240"/>
      <c r="I240"/>
      <c r="J240"/>
      <c r="K240" s="1"/>
      <c r="L240"/>
      <c r="M240"/>
      <c r="N240"/>
      <c r="O240"/>
      <c r="P240"/>
      <c r="Q240"/>
    </row>
    <row r="241" spans="1:17" s="167" customFormat="1" ht="13.5" thickBot="1" x14ac:dyDescent="0.25">
      <c r="A241" s="29"/>
      <c r="B241"/>
      <c r="C241" s="143" t="s">
        <v>7</v>
      </c>
      <c r="D241" s="146" t="s">
        <v>8</v>
      </c>
      <c r="E241" s="146" t="s">
        <v>9</v>
      </c>
      <c r="F241" s="146" t="s">
        <v>10</v>
      </c>
      <c r="G241" s="146" t="s">
        <v>11</v>
      </c>
      <c r="H241" s="146" t="s">
        <v>12</v>
      </c>
      <c r="I241" s="146" t="s">
        <v>1</v>
      </c>
      <c r="J241" s="146" t="s">
        <v>2</v>
      </c>
      <c r="K241" s="146" t="s">
        <v>3</v>
      </c>
      <c r="L241" s="146" t="s">
        <v>4</v>
      </c>
      <c r="M241" s="146" t="s">
        <v>5</v>
      </c>
      <c r="N241" s="146" t="s">
        <v>6</v>
      </c>
      <c r="O241" s="148" t="s">
        <v>16</v>
      </c>
      <c r="P241"/>
      <c r="Q241"/>
    </row>
    <row r="242" spans="1:17" s="169" customFormat="1" ht="13.5" thickBot="1" x14ac:dyDescent="0.25">
      <c r="A242" s="63"/>
      <c r="B242" s="57"/>
      <c r="C242" s="198">
        <f>IF(C235=0," ",C235-C231)</f>
        <v>-55795.952090078266</v>
      </c>
      <c r="D242" s="198">
        <f>IF(D235=0," ",D235-D231)</f>
        <v>-77956.563826322672</v>
      </c>
      <c r="E242" s="198">
        <v>0</v>
      </c>
      <c r="F242" s="198">
        <v>0</v>
      </c>
      <c r="G242" s="198">
        <v>0</v>
      </c>
      <c r="H242" s="198">
        <v>0</v>
      </c>
      <c r="I242" s="198">
        <v>0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f>SUM(C242:N242)</f>
        <v>-133752.51591640094</v>
      </c>
      <c r="P242" s="57"/>
      <c r="Q242" s="57"/>
    </row>
    <row r="243" spans="1:17" s="167" customFormat="1" ht="12.75" x14ac:dyDescent="0.2">
      <c r="A243" s="63" t="s">
        <v>69</v>
      </c>
      <c r="B243"/>
      <c r="C243" s="175">
        <f t="shared" ref="C243:N243" si="44">IF(C235=0," ",C242/C231)</f>
        <v>-9.5920578135664042E-2</v>
      </c>
      <c r="D243" s="175">
        <f t="shared" si="44"/>
        <v>-0.15880926429030567</v>
      </c>
      <c r="E243" s="175" t="str">
        <f t="shared" si="44"/>
        <v xml:space="preserve"> </v>
      </c>
      <c r="F243" s="175" t="str">
        <f t="shared" si="44"/>
        <v xml:space="preserve"> </v>
      </c>
      <c r="G243" s="175" t="str">
        <f t="shared" si="44"/>
        <v xml:space="preserve"> </v>
      </c>
      <c r="H243" s="175" t="str">
        <f t="shared" si="44"/>
        <v xml:space="preserve"> </v>
      </c>
      <c r="I243" s="175" t="str">
        <f t="shared" si="44"/>
        <v xml:space="preserve"> </v>
      </c>
      <c r="J243" s="175" t="str">
        <f t="shared" si="44"/>
        <v xml:space="preserve"> </v>
      </c>
      <c r="K243" s="175" t="str">
        <f t="shared" si="44"/>
        <v xml:space="preserve"> </v>
      </c>
      <c r="L243" s="175" t="str">
        <f t="shared" si="44"/>
        <v xml:space="preserve"> </v>
      </c>
      <c r="M243" s="175" t="str">
        <f t="shared" si="44"/>
        <v xml:space="preserve"> </v>
      </c>
      <c r="N243" s="175" t="str">
        <f t="shared" si="44"/>
        <v xml:space="preserve"> </v>
      </c>
      <c r="O243" s="175">
        <f>IF(O235=0," ",J245)</f>
        <v>-0.14246901683794558</v>
      </c>
      <c r="P243"/>
      <c r="Q243"/>
    </row>
    <row r="244" spans="1:17" s="167" customFormat="1" ht="13.5" thickBot="1" x14ac:dyDescent="0.25">
      <c r="A244" s="63"/>
      <c r="B24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/>
      <c r="Q244"/>
    </row>
    <row r="245" spans="1:17" s="167" customFormat="1" ht="13.5" thickBot="1" x14ac:dyDescent="0.25">
      <c r="A245" s="74"/>
      <c r="B245"/>
      <c r="C245"/>
      <c r="D245"/>
      <c r="E245"/>
      <c r="F245"/>
      <c r="G245"/>
      <c r="H245" s="94" t="s">
        <v>81</v>
      </c>
      <c r="I245" s="93">
        <f>O242</f>
        <v>-133752.51591640094</v>
      </c>
      <c r="J245" s="111">
        <f>I245/(C235+D235)</f>
        <v>-0.14246901683794558</v>
      </c>
      <c r="K245"/>
      <c r="L245"/>
      <c r="M245"/>
      <c r="N245"/>
      <c r="O245" s="84"/>
      <c r="P245"/>
      <c r="Q245" s="1"/>
    </row>
    <row r="246" spans="1:17" s="167" customFormat="1" ht="13.5" thickBot="1" x14ac:dyDescent="0.25">
      <c r="A246" s="74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 s="83"/>
      <c r="P246"/>
      <c r="Q246"/>
    </row>
    <row r="247" spans="1:17" s="167" customFormat="1" ht="13.5" thickBot="1" x14ac:dyDescent="0.25">
      <c r="A247" s="29"/>
      <c r="B247"/>
      <c r="C247" s="174"/>
      <c r="D247"/>
      <c r="E247" s="210" t="s">
        <v>82</v>
      </c>
      <c r="F247" s="210"/>
      <c r="G247" s="210"/>
      <c r="H247" s="211"/>
      <c r="I247" s="186">
        <f>SUM(C208:D208)-SUM(C200:D200)</f>
        <v>13523.869999999995</v>
      </c>
      <c r="J247" s="111">
        <f>I247/(C235+D235)</f>
        <v>1.4405205386554732E-2</v>
      </c>
      <c r="K247"/>
      <c r="L247"/>
      <c r="M247"/>
      <c r="N247"/>
      <c r="O247"/>
      <c r="P247"/>
      <c r="Q247"/>
    </row>
    <row r="248" spans="1:17" ht="12.75" x14ac:dyDescent="0.2"/>
    <row r="249" spans="1:17" ht="12.75" x14ac:dyDescent="0.2">
      <c r="I249" s="83"/>
    </row>
    <row r="250" spans="1:17" ht="12.75" x14ac:dyDescent="0.2"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</row>
    <row r="251" spans="1:17" ht="12.75" x14ac:dyDescent="0.2">
      <c r="H251" s="83"/>
      <c r="I251" s="1"/>
      <c r="J251" s="83"/>
    </row>
    <row r="252" spans="1:17" ht="12.7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7" ht="12.75" x14ac:dyDescent="0.2"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</row>
    <row r="254" spans="1:17" ht="12.75" x14ac:dyDescent="0.2"/>
    <row r="255" spans="1:17" ht="12.75" x14ac:dyDescent="0.2"/>
    <row r="256" spans="1:17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</sheetData>
  <mergeCells count="1">
    <mergeCell ref="E247:H247"/>
  </mergeCells>
  <conditionalFormatting sqref="A66:B69 A75:A99 B88:B99">
    <cfRule type="expression" dxfId="5" priority="1" stopIfTrue="1">
      <formula>MOD(ROW(),2)=0</formula>
    </cfRule>
  </conditionalFormatting>
  <conditionalFormatting sqref="C66:N69">
    <cfRule type="cellIs" dxfId="4" priority="4" stopIfTrue="1" operator="between">
      <formula>1</formula>
      <formula>4</formula>
    </cfRule>
    <cfRule type="cellIs" dxfId="3" priority="5" stopIfTrue="1" operator="between">
      <formula>5</formula>
      <formula>8</formula>
    </cfRule>
    <cfRule type="cellIs" dxfId="2" priority="6" stopIfTrue="1" operator="greaterThanOrEqual">
      <formula>9</formula>
    </cfRule>
  </conditionalFormatting>
  <conditionalFormatting sqref="C75:O99">
    <cfRule type="expression" dxfId="1" priority="2" stopIfTrue="1">
      <formula>MOD(ROW(),2)=0</formula>
    </cfRule>
    <cfRule type="expression" dxfId="0" priority="3" stopIfTrue="1">
      <formula>MOD(COLUMN(),2)=0</formula>
    </cfRule>
  </conditionalFormatting>
  <pageMargins left="0.25" right="0.25" top="0.5" bottom="0.45" header="0.25" footer="0.25"/>
  <pageSetup scale="60" orientation="landscape" horizontalDpi="300" verticalDpi="300" r:id="rId1"/>
  <headerFooter alignWithMargins="0">
    <oddFooter>&amp;L&amp;7&amp;D  at &amp;T Susan&amp;C&amp;7&amp;F  &amp;A&amp;R&amp;7Page &amp;P of &amp;N</oddFooter>
  </headerFooter>
  <rowBreaks count="1" manualBreakCount="1">
    <brk id="60" max="15" man="1"/>
  </rowBreaks>
  <colBreaks count="1" manualBreakCount="1">
    <brk id="16" max="1048575" man="1"/>
  </colBreaks>
  <ignoredErrors>
    <ignoredError sqref="O152" formula="1"/>
    <ignoredError sqref="C18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 - Baseline</vt:lpstr>
      <vt:lpstr>TOT - Measure L</vt:lpstr>
      <vt:lpstr>TBID</vt:lpstr>
      <vt:lpstr>TBID!Print_Area</vt:lpstr>
      <vt:lpstr>'TOT - Baseline'!Print_Area</vt:lpstr>
      <vt:lpstr>'TOT - Measure L'!Print_Area</vt:lpstr>
    </vt:vector>
  </TitlesOfParts>
  <Company>TOML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Dang x239</dc:creator>
  <cp:lastModifiedBy>Daniel Earls</cp:lastModifiedBy>
  <cp:lastPrinted>2021-07-29T22:19:12Z</cp:lastPrinted>
  <dcterms:created xsi:type="dcterms:W3CDTF">2011-11-28T18:48:44Z</dcterms:created>
  <dcterms:modified xsi:type="dcterms:W3CDTF">2025-10-07T21:03:33Z</dcterms:modified>
</cp:coreProperties>
</file>